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425"/>
  <workbookPr codeName="ThisWorkbook"/>
  <mc:AlternateContent xmlns:mc="http://schemas.openxmlformats.org/markup-compatibility/2006">
    <mc:Choice Requires="x15">
      <x15ac:absPath xmlns:x15ac="http://schemas.microsoft.com/office/spreadsheetml/2010/11/ac" url="G:\Skrifstofa sjávarútvegs og fiskeldis\Guðný\Heimasíða ANR\Próf viðurkenndir bókarar\"/>
    </mc:Choice>
  </mc:AlternateContent>
  <xr:revisionPtr revIDLastSave="0" documentId="8_{5A715384-F781-432D-8D01-A6936052D618}" xr6:coauthVersionLast="43" xr6:coauthVersionMax="43" xr10:uidLastSave="{00000000-0000-0000-0000-000000000000}"/>
  <bookViews>
    <workbookView xWindow="-28920" yWindow="-570" windowWidth="29040" windowHeight="15840" tabRatio="795" xr2:uid="{00000000-000D-0000-FFFF-FFFF00000000}"/>
  </bookViews>
  <sheets>
    <sheet name="Yfirlitsblað" sheetId="15" r:id="rId1"/>
    <sheet name="V1 krossar 12%" sheetId="2" r:id="rId2"/>
    <sheet name="V2 Skattframtal 6%" sheetId="16" r:id="rId3"/>
    <sheet name="V3 tekjuskattsst 15%" sheetId="3" r:id="rId4"/>
    <sheet name="V4A VSK 7%" sheetId="30" r:id="rId5"/>
    <sheet name="V4B VSK 3%" sheetId="32" r:id="rId6"/>
    <sheet name="V5 Laun 9%" sheetId="31" r:id="rId7"/>
    <sheet name="V6 kennitölur 5% " sheetId="20" r:id="rId8"/>
    <sheet name="V7A Afstemming 4%" sheetId="19" r:id="rId9"/>
    <sheet name="V7B Afstemming 3%" sheetId="33" r:id="rId10"/>
    <sheet name="V8 Excel 9%" sheetId="4" r:id="rId11"/>
    <sheet name="V8 hreyfingar" sheetId="7" r:id="rId12"/>
    <sheet name="V8 Svarblað A)" sheetId="34" r:id="rId13"/>
    <sheet name="V8 Svarblað B)" sheetId="5" r:id="rId14"/>
    <sheet name="V8 Svarblað C)" sheetId="29" r:id="rId15"/>
    <sheet name="V 9 a) prófj. og lokaf 27%" sheetId="12" r:id="rId16"/>
    <sheet name="V 9 b) Ársreikningur" sheetId="14" r:id="rId17"/>
    <sheet name="V9 Fyrningarskýrsla" sheetId="26" r:id="rId18"/>
  </sheets>
  <externalReferences>
    <externalReference r:id="rId19"/>
    <externalReference r:id="rId20"/>
    <externalReference r:id="rId21"/>
    <externalReference r:id="rId22"/>
    <externalReference r:id="rId23"/>
    <externalReference r:id="rId24"/>
    <externalReference r:id="rId25"/>
    <externalReference r:id="rId26"/>
    <externalReference r:id="rId27"/>
  </externalReferences>
  <definedNames>
    <definedName name="_1_" localSheetId="17">'[1]1994-skatt'!#REF!</definedName>
    <definedName name="_1_">'[1]1994-skatt'!#REF!</definedName>
    <definedName name="_2HLUTF" localSheetId="17">'[1]1994-skatt'!#REF!</definedName>
    <definedName name="_2HLUTF">'[1]1994-skatt'!#REF!</definedName>
    <definedName name="_3BYGGINGARVÍSIT" localSheetId="17">'[1]1994-skatt'!#REF!</definedName>
    <definedName name="_3BYGGINGARVÍSIT">'[1]1994-skatt'!#REF!</definedName>
    <definedName name="_xlnm._FilterDatabase" localSheetId="11" hidden="1">'V8 hreyfingar'!$A$1:$N$149</definedName>
    <definedName name="_xlnm._FilterDatabase" localSheetId="12" hidden="1">'V8 Svarblað A)'!$A$1:$J$151</definedName>
    <definedName name="_xlnm._FilterDatabase" localSheetId="13" hidden="1">'V8 Svarblað B)'!$A$1:$J$151</definedName>
    <definedName name="_xlnm._FilterDatabase" localSheetId="17" hidden="1">'V9 Fyrningarskýrsla'!$A$8:$AB$20</definedName>
    <definedName name="´slkdfa" localSheetId="17">#REF!</definedName>
    <definedName name="´slkdfa">#REF!</definedName>
    <definedName name="a´sfkdl" localSheetId="17">#REF!</definedName>
    <definedName name="a´sfkdl">#REF!</definedName>
    <definedName name="adflpl" localSheetId="17">#REF!</definedName>
    <definedName name="adflpl">#REF!</definedName>
    <definedName name="Adili" localSheetId="17">#REF!</definedName>
    <definedName name="Adili">#REF!</definedName>
    <definedName name="adsfasfdaf" localSheetId="17">#REF!</definedName>
    <definedName name="adsfasfdaf">#REF!</definedName>
    <definedName name="ar_1">[2]Dagsetning!$B$12</definedName>
    <definedName name="ar0">'[3]Dagsetning lán'!$B$8</definedName>
    <definedName name="AS2DocOpenMode" hidden="1">"AS2DocumentEdit"</definedName>
    <definedName name="AS2HasNoAutoHeaderFooter">"OFF"</definedName>
    <definedName name="AS2NamedRange" hidden="1">4</definedName>
    <definedName name="asdfa23" localSheetId="17">#REF!</definedName>
    <definedName name="asdfa23">#REF!</definedName>
    <definedName name="asdfafasf" localSheetId="17">#REF!</definedName>
    <definedName name="asdfafasf">#REF!</definedName>
    <definedName name="ATS" localSheetId="17">#REF!</definedName>
    <definedName name="ATS">#REF!</definedName>
    <definedName name="awgbht" localSheetId="17">#REF!</definedName>
    <definedName name="awgbht">#REF!</definedName>
    <definedName name="BEF" localSheetId="17">#REF!</definedName>
    <definedName name="BEF">#REF!</definedName>
    <definedName name="BVT" localSheetId="17">'[4]1994-skatt'!#REF!</definedName>
    <definedName name="BVT">'[4]1994-skatt'!#REF!</definedName>
    <definedName name="BYGGINGARVÍSITALA" localSheetId="17">'[4]1994-skatt'!#REF!</definedName>
    <definedName name="BYGGINGARVÍSITALA">'[4]1994-skatt'!#REF!</definedName>
    <definedName name="CAD" localSheetId="17">#REF!</definedName>
    <definedName name="CAD">#REF!</definedName>
    <definedName name="CHF" localSheetId="17">#REF!</definedName>
    <definedName name="CHF">#REF!</definedName>
    <definedName name="DAGS">[5]GRUNNUR!$E$5</definedName>
    <definedName name="DagsA" localSheetId="17">#REF!</definedName>
    <definedName name="DagsA">#REF!</definedName>
    <definedName name="date" localSheetId="17">#REF!</definedName>
    <definedName name="date">#REF!</definedName>
    <definedName name="DEM" localSheetId="17">#REF!</definedName>
    <definedName name="DEM">#REF!</definedName>
    <definedName name="DKK" localSheetId="17">#REF!</definedName>
    <definedName name="DKK">#REF!</definedName>
    <definedName name="ESP" localSheetId="17">#REF!</definedName>
    <definedName name="ESP">#REF!</definedName>
    <definedName name="FIM" localSheetId="17">#REF!</definedName>
    <definedName name="FIM">#REF!</definedName>
    <definedName name="FRF" localSheetId="17">#REF!</definedName>
    <definedName name="FRF">#REF!</definedName>
    <definedName name="fsfa" localSheetId="17">[6]REKEFN1997!#REF!</definedName>
    <definedName name="fsfa">[6]REKEFN1997!#REF!</definedName>
    <definedName name="fyrn" localSheetId="17">[6]REKEFN1997!#REF!</definedName>
    <definedName name="fyrn">[6]REKEFN1997!#REF!</definedName>
    <definedName name="GBP" localSheetId="17">#REF!</definedName>
    <definedName name="GBP">#REF!</definedName>
    <definedName name="hagn" localSheetId="17">[6]REKEFN1997!#REF!</definedName>
    <definedName name="hagn">[6]REKEFN1997!#REF!</definedName>
    <definedName name="hagn1" localSheetId="17">#REF!</definedName>
    <definedName name="hagn1">#REF!</definedName>
    <definedName name="Heimili" localSheetId="17">IF(ISBLANK(#REF!),"",#REF!)</definedName>
    <definedName name="Heimili">IF(ISBLANK(#REF!),"",#REF!)</definedName>
    <definedName name="HLUTFOLL" localSheetId="17">[7]Fyrnsk.!#REF!</definedName>
    <definedName name="HLUTFOLL">[7]Fyrnsk.!#REF!</definedName>
    <definedName name="IEP" localSheetId="17">#REF!</definedName>
    <definedName name="IEP">#REF!</definedName>
    <definedName name="ITL" localSheetId="17">#REF!</definedName>
    <definedName name="ITL">#REF!</definedName>
    <definedName name="JPY" localSheetId="17">#REF!</definedName>
    <definedName name="JPY">#REF!</definedName>
    <definedName name="Kaupdagur" localSheetId="17">#REF!</definedName>
    <definedName name="Kaupdagur">#REF!</definedName>
    <definedName name="Kennitala" localSheetId="17">IF(AND([0]!TegFram&lt;4,[0]!Adili=2),[0]!Kennitala2,[0]!Kennitala1)</definedName>
    <definedName name="Kennitala">IF(AND([0]!TegFram&lt;4,[0]!Adili=2),[0]!Kennitala2,[0]!Kennitala1)</definedName>
    <definedName name="Kennitala1" localSheetId="17">IF(ISBLANK(#REF!)=TRUE,"",#REF!)</definedName>
    <definedName name="Kennitala1">IF(ISBLANK(#REF!)=TRUE,"",#REF!)</definedName>
    <definedName name="Kennitala2" localSheetId="17">IF(ISBLANK(#REF!)=TRUE,"",#REF!)</definedName>
    <definedName name="Kennitala2">IF(ISBLANK(#REF!)=TRUE,"",#REF!)</definedName>
    <definedName name="kljsaðoifj" localSheetId="17">#REF!</definedName>
    <definedName name="kljsaðoifj">#REF!</definedName>
    <definedName name="ldags">'[3]Dagsetning lán'!$B$10</definedName>
    <definedName name="LVT" localSheetId="17">#REF!</definedName>
    <definedName name="LVT">#REF!</definedName>
    <definedName name="MAN" localSheetId="17">'V9 Fyrningarskýrsla'!$B$6</definedName>
    <definedName name="MAN">#REF!</definedName>
    <definedName name="mane" localSheetId="17">#REF!</definedName>
    <definedName name="mane">#REF!</definedName>
    <definedName name="NAFN">[5]GRUNNUR!$C$3</definedName>
    <definedName name="Nafn1" localSheetId="17">IF(ISBLANK(#REF!)=TRUE,"",#REF!)</definedName>
    <definedName name="Nafn1">IF(ISBLANK(#REF!)=TRUE,"",#REF!)</definedName>
    <definedName name="Nafn2" localSheetId="17">IF(ISBLANK(#REF!)=TRUE,"",#REF!)</definedName>
    <definedName name="Nafn2">IF(ISBLANK(#REF!)=TRUE,"",#REF!)</definedName>
    <definedName name="NLG" localSheetId="17">#REF!</definedName>
    <definedName name="NLG">#REF!</definedName>
    <definedName name="NOK" localSheetId="17">#REF!</definedName>
    <definedName name="NOK">#REF!</definedName>
    <definedName name="NPER" localSheetId="17">#REF!</definedName>
    <definedName name="NPER">#REF!</definedName>
    <definedName name="NVT" localSheetId="17">#REF!</definedName>
    <definedName name="NVT">#REF!</definedName>
    <definedName name="PR" localSheetId="17">#REF!</definedName>
    <definedName name="PR">#REF!</definedName>
    <definedName name="_xlnm.Print_Area" localSheetId="16">'V 9 b) Ársreikningur'!$A$1:$D$94</definedName>
    <definedName name="_xlnm.Print_Area" localSheetId="1">'V1 krossar 12%'!$B$14:$M$125</definedName>
    <definedName name="_xlnm.Print_Area" localSheetId="2">'V2 Skattframtal 6%'!$A$1:$I$50</definedName>
    <definedName name="_xlnm.Print_Area" localSheetId="7">'V6 kennitölur 5% '!$A$1:$O$77</definedName>
    <definedName name="_xlnm.Print_Area" localSheetId="8">'V7A Afstemming 4%'!$A$1:$G$43</definedName>
    <definedName name="_xlnm.Print_Area" localSheetId="10">'V8 Excel 9%'!$A$1:$J$26</definedName>
    <definedName name="_xlnm.Print_Area" localSheetId="12">'V8 Svarblað A)'!$A$1:$J$151</definedName>
    <definedName name="_xlnm.Print_Area" localSheetId="13">'V8 Svarblað B)'!$A$1:$J$151</definedName>
    <definedName name="_xlnm.Print_Area" localSheetId="17">'V9 Fyrningarskýrsla'!$A$3:$T$20</definedName>
    <definedName name="_xlnm.Print_Titles" localSheetId="17">'V9 Fyrningarskýrsla'!#REF!</definedName>
    <definedName name="PTE" localSheetId="17">#REF!</definedName>
    <definedName name="PTE">#REF!</definedName>
    <definedName name="read" localSheetId="17">#REF!</definedName>
    <definedName name="read">#REF!</definedName>
    <definedName name="Reitur_A01">'[8]Verkefni 4 a'!$C$19</definedName>
    <definedName name="Reitur_A02">'[8]Verkefni 4 a'!$C$23</definedName>
    <definedName name="Reitur_A03">'[8]Verkefni 4 a'!$C$27</definedName>
    <definedName name="Reitur_A04">'[8]Verkefni 4 a'!$C$31</definedName>
    <definedName name="Reitur_A05">'[8]Verkefni 4 a'!$C$35</definedName>
    <definedName name="Reitur_A06">'[8]Verkefni 4 a'!$C$39</definedName>
    <definedName name="Reitur_AA1" localSheetId="17">#REF!</definedName>
    <definedName name="Reitur_AA1">#REF!</definedName>
    <definedName name="rekstur">[9]Dagsetning!$B$19</definedName>
    <definedName name="rekstur_1">[9]Dagsetning!$B$20</definedName>
    <definedName name="rsd" localSheetId="17">#REF!</definedName>
    <definedName name="rsd">#REF!</definedName>
    <definedName name="rsk" localSheetId="17">[6]REKEFN1997!#REF!</definedName>
    <definedName name="rsk">[6]REKEFN1997!#REF!</definedName>
    <definedName name="s" localSheetId="17">#REF!</definedName>
    <definedName name="s">#REF!</definedName>
    <definedName name="sd" localSheetId="17">IF(ISBLANK(#REF!)=TRUE,"",#REF!)</definedName>
    <definedName name="sd">IF(ISBLANK(#REF!)=TRUE,"",#REF!)</definedName>
    <definedName name="sdfa" localSheetId="17">#REF!</definedName>
    <definedName name="sdfa">#REF!</definedName>
    <definedName name="sdfsf" localSheetId="17">#REF!</definedName>
    <definedName name="sdfsf">#REF!</definedName>
    <definedName name="sdfsfd" localSheetId="17">#REF!</definedName>
    <definedName name="sdfsfd">#REF!</definedName>
    <definedName name="SEK" localSheetId="17">#REF!</definedName>
    <definedName name="SEK">#REF!</definedName>
    <definedName name="sfadfsaf" localSheetId="17">IF(ISBLANK(#REF!)=TRUE,"",#REF!)</definedName>
    <definedName name="sfadfsaf">IF(ISBLANK(#REF!)=TRUE,"",#REF!)</definedName>
    <definedName name="sfdadsafsa" localSheetId="17">IF(ISBLANK(#REF!)=TRUE,"",#REF!)</definedName>
    <definedName name="sfdadsafsa">IF(ISBLANK(#REF!)=TRUE,"",#REF!)</definedName>
    <definedName name="sfdsdf" localSheetId="17">#REF!</definedName>
    <definedName name="sfdsdf">#REF!</definedName>
    <definedName name="ssd">#N/A</definedName>
    <definedName name="STU" localSheetId="17">'V9 Fyrningarskýrsla'!#REF!</definedName>
    <definedName name="STU">#REF!</definedName>
    <definedName name="Stuðull">!$D$3</definedName>
    <definedName name="summa" localSheetId="17">'V9 Fyrningarskýrsla'!#REF!</definedName>
    <definedName name="summa">#REF!</definedName>
    <definedName name="summa1" localSheetId="17">#REF!</definedName>
    <definedName name="summa1">#REF!</definedName>
    <definedName name="TegFram" localSheetId="17">#REF!</definedName>
    <definedName name="TegFram">#REF!</definedName>
    <definedName name="TextRefCopy1" localSheetId="17">#REF!</definedName>
    <definedName name="TextRefCopy1">#REF!</definedName>
    <definedName name="TextRefCopy10" localSheetId="17">#REF!</definedName>
    <definedName name="TextRefCopy10">#REF!</definedName>
    <definedName name="TextRefCopy11" localSheetId="17">#REF!</definedName>
    <definedName name="TextRefCopy11">#REF!</definedName>
    <definedName name="TextRefCopy2" localSheetId="17">#REF!</definedName>
    <definedName name="TextRefCopy2">#REF!</definedName>
    <definedName name="TextRefCopy3" localSheetId="17">#REF!</definedName>
    <definedName name="TextRefCopy3">#REF!</definedName>
    <definedName name="TextRefCopy4" localSheetId="17">#REF!</definedName>
    <definedName name="TextRefCopy4">#REF!</definedName>
    <definedName name="TextRefCopy5" localSheetId="17">#REF!</definedName>
    <definedName name="TextRefCopy5">#REF!</definedName>
    <definedName name="TextRefCopy6" localSheetId="17">#REF!</definedName>
    <definedName name="TextRefCopy6">#REF!</definedName>
    <definedName name="TextRefCopy7" localSheetId="17">#REF!</definedName>
    <definedName name="TextRefCopy7">#REF!</definedName>
    <definedName name="TextRefCopy8" localSheetId="17">#REF!</definedName>
    <definedName name="TextRefCopy8">#REF!</definedName>
    <definedName name="TextRefCopy9" localSheetId="17">#REF!</definedName>
    <definedName name="TextRefCopy9">#REF!</definedName>
    <definedName name="TextRefCopyRangeCount" hidden="1">11</definedName>
    <definedName name="udags">'[3]Dagsetning lán'!$B$11</definedName>
    <definedName name="UPPHAF">[5]GRUNNUR!$E$8</definedName>
    <definedName name="USD" localSheetId="17">#REF!</definedName>
    <definedName name="USD">#REF!</definedName>
    <definedName name="vbf" localSheetId="17">[6]REKEFN1997!#REF!</definedName>
    <definedName name="vbf">[6]REKEFN1997!#REF!</definedName>
    <definedName name="wevf" localSheetId="17">#REF!</definedName>
    <definedName name="wevf">#REF!</definedName>
    <definedName name="wrn.Aging._.and._.Trend._.Analysis." localSheetId="17" hidden="1">{#N/A,#N/A,FALSE,"Aging Summary";#N/A,#N/A,FALSE,"Ratio Analysis";#N/A,#N/A,FALSE,"Test 120 Day Accts";#N/A,#N/A,FALSE,"Tickmarks"}</definedName>
    <definedName name="wrn.Aging._.and._.Trend._.Analysis." hidden="1">{#N/A,#N/A,FALSE,"Aging Summary";#N/A,#N/A,FALSE,"Ratio Analysis";#N/A,#N/A,FALSE,"Test 120 Day Accts";#N/A,#N/A,FALSE,"Tickmarks"}</definedName>
    <definedName name="XDR" localSheetId="17">#REF!</definedName>
    <definedName name="XDR">#REF!</definedName>
    <definedName name="XEU" localSheetId="17">#REF!</definedName>
    <definedName name="XEU">#REF!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66" i="20" l="1"/>
  <c r="B54" i="20"/>
  <c r="B43" i="20"/>
  <c r="B29" i="20"/>
  <c r="B20" i="20"/>
  <c r="B21" i="20"/>
  <c r="B22" i="20"/>
  <c r="B19" i="20"/>
  <c r="O14" i="20"/>
  <c r="N14" i="20"/>
  <c r="H18" i="20"/>
  <c r="G18" i="20"/>
  <c r="M11" i="4" l="1"/>
  <c r="F10" i="33" l="1"/>
  <c r="D15" i="15" s="1"/>
  <c r="D18" i="15"/>
  <c r="D17" i="15"/>
  <c r="D16" i="15"/>
  <c r="D9" i="32"/>
  <c r="D11" i="15" s="1"/>
  <c r="Q37" i="32"/>
  <c r="P37" i="32"/>
  <c r="E27" i="32"/>
  <c r="E28" i="32" s="1"/>
  <c r="E26" i="32"/>
  <c r="O62" i="33" l="1"/>
  <c r="N56" i="33"/>
  <c r="N62" i="33" s="1"/>
  <c r="J62" i="33"/>
  <c r="I56" i="33"/>
  <c r="I62" i="33" s="1"/>
  <c r="C6" i="33"/>
  <c r="C7" i="33"/>
  <c r="C8" i="33"/>
  <c r="C4" i="33"/>
  <c r="C5" i="33"/>
  <c r="C3" i="33"/>
  <c r="J29" i="33"/>
  <c r="O29" i="33"/>
  <c r="N29" i="33"/>
  <c r="J40" i="33"/>
  <c r="I40" i="33"/>
  <c r="J51" i="33"/>
  <c r="N51" i="33"/>
  <c r="O40" i="33"/>
  <c r="I29" i="33"/>
  <c r="N40" i="33" l="1"/>
  <c r="O51" i="33" l="1"/>
  <c r="I51" i="33"/>
  <c r="D5" i="19" l="1"/>
  <c r="D4" i="19"/>
  <c r="D3" i="19"/>
  <c r="D2" i="19"/>
  <c r="E20" i="15" l="1"/>
  <c r="F15" i="15" s="1"/>
  <c r="F10" i="15" l="1"/>
  <c r="F11" i="15"/>
  <c r="F16" i="15"/>
  <c r="F14" i="15"/>
  <c r="F7" i="15"/>
  <c r="F12" i="15"/>
  <c r="F9" i="15"/>
  <c r="F18" i="15"/>
  <c r="F8" i="15"/>
  <c r="F17" i="15"/>
  <c r="F13" i="15"/>
  <c r="F19" i="15"/>
  <c r="F20" i="15" l="1"/>
  <c r="D63" i="31"/>
  <c r="C63" i="31"/>
  <c r="C27" i="31"/>
  <c r="F10" i="31"/>
  <c r="C5" i="31"/>
  <c r="F3" i="31"/>
  <c r="F1" i="31"/>
  <c r="D9" i="31" l="1"/>
  <c r="C4" i="31"/>
  <c r="D83" i="31" l="1"/>
  <c r="D7" i="31"/>
  <c r="F4" i="31"/>
  <c r="F11" i="31" s="1"/>
  <c r="D12" i="15" s="1"/>
  <c r="D8" i="31"/>
  <c r="C83" i="31" l="1"/>
  <c r="D85" i="31" s="1"/>
  <c r="N60" i="30"/>
  <c r="N57" i="30"/>
  <c r="N51" i="30"/>
  <c r="H39" i="30"/>
  <c r="H40" i="30" s="1"/>
  <c r="I38" i="30"/>
  <c r="G37" i="30"/>
  <c r="G39" i="30" s="1"/>
  <c r="F37" i="30"/>
  <c r="E37" i="30"/>
  <c r="D37" i="30"/>
  <c r="C37" i="30"/>
  <c r="C39" i="30" s="1"/>
  <c r="I36" i="30"/>
  <c r="I35" i="30"/>
  <c r="I34" i="30"/>
  <c r="N26" i="30"/>
  <c r="D12" i="30"/>
  <c r="D10" i="15" s="1"/>
  <c r="D39" i="30" l="1"/>
  <c r="D40" i="30" s="1"/>
  <c r="C40" i="30"/>
  <c r="I37" i="30"/>
  <c r="E39" i="30"/>
  <c r="I39" i="30" s="1"/>
  <c r="N62" i="30"/>
  <c r="F39" i="30"/>
  <c r="F40" i="30" s="1"/>
  <c r="G40" i="30"/>
  <c r="I40" i="30" l="1"/>
  <c r="E40" i="30"/>
  <c r="F83" i="19" l="1"/>
  <c r="B52" i="19"/>
  <c r="F70" i="19"/>
  <c r="B70" i="19"/>
  <c r="B74" i="19" s="1"/>
  <c r="B83" i="19" s="1"/>
  <c r="F85" i="19" l="1"/>
  <c r="E11" i="12" l="1"/>
  <c r="D19" i="15" s="1"/>
  <c r="O29" i="12"/>
  <c r="T108" i="12"/>
  <c r="O39" i="12"/>
  <c r="O43" i="12"/>
  <c r="O56" i="12" s="1"/>
  <c r="R51" i="12" l="1"/>
  <c r="K34" i="3" l="1"/>
  <c r="K33" i="3"/>
  <c r="F6" i="20" l="1"/>
  <c r="D13" i="15" s="1"/>
  <c r="K30" i="3"/>
  <c r="K38" i="3"/>
  <c r="K47" i="3"/>
  <c r="K40" i="3" l="1"/>
  <c r="K49" i="3" s="1"/>
  <c r="O54" i="12" l="1"/>
  <c r="T109" i="12" l="1"/>
  <c r="M18" i="26"/>
  <c r="J18" i="26"/>
  <c r="G18" i="26"/>
  <c r="F18" i="26"/>
  <c r="E18" i="26"/>
  <c r="AA16" i="26"/>
  <c r="Z16" i="26"/>
  <c r="W16" i="26"/>
  <c r="W18" i="26" s="1"/>
  <c r="V16" i="26"/>
  <c r="V18" i="26" s="1"/>
  <c r="R16" i="26"/>
  <c r="R18" i="26" s="1"/>
  <c r="O16" i="26"/>
  <c r="O18" i="26" s="1"/>
  <c r="M12" i="26"/>
  <c r="M20" i="26" s="1"/>
  <c r="J12" i="26"/>
  <c r="G12" i="26"/>
  <c r="F12" i="26"/>
  <c r="E12" i="26"/>
  <c r="AA10" i="26"/>
  <c r="Z10" i="26"/>
  <c r="W10" i="26"/>
  <c r="V10" i="26"/>
  <c r="R10" i="26"/>
  <c r="O10" i="26"/>
  <c r="G20" i="26" l="1"/>
  <c r="T110" i="12"/>
  <c r="AB16" i="26"/>
  <c r="AD16" i="26" s="1"/>
  <c r="J20" i="26"/>
  <c r="E20" i="26"/>
  <c r="X10" i="26"/>
  <c r="X16" i="26"/>
  <c r="X18" i="26" s="1"/>
  <c r="F20" i="26"/>
  <c r="AB10" i="26"/>
  <c r="AD10" i="26" s="1"/>
  <c r="Q10" i="26" s="1"/>
  <c r="O12" i="26"/>
  <c r="O20" i="26" s="1"/>
  <c r="V12" i="26"/>
  <c r="V20" i="26" s="1"/>
  <c r="C72" i="12"/>
  <c r="AC16" i="26" l="1"/>
  <c r="R46" i="12"/>
  <c r="R24" i="12"/>
  <c r="Q16" i="26"/>
  <c r="AC10" i="26"/>
  <c r="R12" i="26"/>
  <c r="R20" i="26" s="1"/>
  <c r="X12" i="26"/>
  <c r="X20" i="26" s="1"/>
  <c r="W12" i="26"/>
  <c r="W20" i="26" s="1"/>
  <c r="S10" i="26" l="1"/>
  <c r="T10" i="26" s="1"/>
  <c r="T12" i="26" s="1"/>
  <c r="Q12" i="26"/>
  <c r="Q18" i="26"/>
  <c r="S16" i="26"/>
  <c r="Q20" i="26" l="1"/>
  <c r="S12" i="26"/>
  <c r="T16" i="26"/>
  <c r="T18" i="26" s="1"/>
  <c r="S18" i="26"/>
  <c r="S20" i="26" l="1"/>
  <c r="T20" i="26"/>
  <c r="N22" i="20" l="1"/>
  <c r="O22" i="20"/>
  <c r="M22" i="20"/>
  <c r="O26" i="20" l="1"/>
  <c r="M26" i="20"/>
  <c r="N26" i="20" l="1"/>
  <c r="N54" i="20" l="1"/>
  <c r="D12" i="2" l="1"/>
  <c r="D7" i="15" s="1"/>
  <c r="R50" i="12" l="1"/>
  <c r="R45" i="12"/>
  <c r="R32" i="12" l="1"/>
  <c r="G7" i="19" l="1"/>
  <c r="D14" i="15" s="1"/>
  <c r="A4" i="3"/>
  <c r="A5" i="3" s="1"/>
  <c r="A6" i="3" s="1"/>
  <c r="A7" i="3" s="1"/>
  <c r="A8" i="3" s="1"/>
  <c r="A9" i="3" s="1"/>
  <c r="A10" i="3" s="1"/>
  <c r="A11" i="3" s="1"/>
  <c r="A12" i="3" l="1"/>
  <c r="A13" i="3" s="1"/>
  <c r="A14" i="3" s="1"/>
  <c r="A15" i="3" s="1"/>
  <c r="A16" i="3" s="1"/>
  <c r="A17" i="3" s="1"/>
  <c r="A18" i="3" s="1"/>
  <c r="A19" i="3" s="1"/>
  <c r="B7" i="4"/>
  <c r="D10" i="16"/>
  <c r="D8" i="15" s="1"/>
  <c r="R44" i="12" l="1"/>
  <c r="R52" i="12"/>
  <c r="R49" i="12"/>
  <c r="R47" i="12"/>
  <c r="R48" i="12"/>
  <c r="R21" i="12"/>
  <c r="R40" i="12"/>
  <c r="R37" i="12"/>
  <c r="R28" i="12"/>
  <c r="R42" i="12"/>
  <c r="R39" i="12"/>
  <c r="R30" i="12"/>
  <c r="R26" i="12"/>
  <c r="R22" i="12"/>
  <c r="R23" i="12"/>
  <c r="R36" i="12"/>
  <c r="R31" i="12"/>
  <c r="R27" i="12"/>
  <c r="R41" i="12"/>
  <c r="R38" i="12"/>
  <c r="R34" i="12"/>
  <c r="R29" i="12"/>
  <c r="M61" i="20" l="1"/>
  <c r="N61" i="20"/>
  <c r="O61" i="20"/>
  <c r="M66" i="20"/>
  <c r="N66" i="20"/>
  <c r="O66" i="20"/>
  <c r="M55" i="20"/>
  <c r="N36" i="20"/>
  <c r="N43" i="20"/>
  <c r="O43" i="20"/>
  <c r="M43" i="20"/>
  <c r="M36" i="20"/>
  <c r="C44" i="14" l="1"/>
  <c r="C48" i="14" s="1"/>
  <c r="O55" i="20"/>
  <c r="R25" i="12"/>
  <c r="M45" i="20"/>
  <c r="N45" i="20"/>
  <c r="O36" i="20"/>
  <c r="O45" i="20" s="1"/>
  <c r="M68" i="20"/>
  <c r="N55" i="20"/>
  <c r="O68" i="20" l="1"/>
  <c r="N68" i="20"/>
  <c r="R43" i="12"/>
  <c r="T114" i="12" s="1"/>
  <c r="T115" i="12" l="1"/>
  <c r="R35" i="12"/>
  <c r="P94" i="12" l="1"/>
  <c r="R53" i="12"/>
  <c r="R56" i="12" s="1"/>
  <c r="Q94" i="12" l="1"/>
  <c r="R33" i="12"/>
  <c r="R54" i="12" l="1"/>
  <c r="C90" i="14" l="1"/>
  <c r="C92" i="14" s="1"/>
  <c r="C56" i="14"/>
  <c r="C22" i="14"/>
  <c r="C15" i="14"/>
  <c r="C8" i="14"/>
  <c r="C58" i="14" l="1"/>
  <c r="C17" i="14"/>
  <c r="C24" i="14" s="1"/>
  <c r="C28" i="14" s="1"/>
  <c r="C73" i="14" l="1"/>
  <c r="C94" i="14" l="1"/>
  <c r="P54" i="12"/>
  <c r="Q54" i="12"/>
  <c r="H20" i="3" l="1"/>
  <c r="D9" i="15" s="1"/>
  <c r="D20" i="15" s="1"/>
</calcChain>
</file>

<file path=xl/sharedStrings.xml><?xml version="1.0" encoding="utf-8"?>
<sst xmlns="http://schemas.openxmlformats.org/spreadsheetml/2006/main" count="3144" uniqueCount="707">
  <si>
    <t>Eigið fé</t>
  </si>
  <si>
    <t>a)</t>
  </si>
  <si>
    <t>b)</t>
  </si>
  <si>
    <t>c)</t>
  </si>
  <si>
    <t>d)</t>
  </si>
  <si>
    <t>e)</t>
  </si>
  <si>
    <t>Ekkert af ofangreindu</t>
  </si>
  <si>
    <t>Tekjuskattsstofn</t>
  </si>
  <si>
    <t xml:space="preserve">  Rekstrartekjur</t>
  </si>
  <si>
    <t>Vörusala</t>
  </si>
  <si>
    <t>Aðrar tekjur</t>
  </si>
  <si>
    <t>Rekstrartekjur</t>
  </si>
  <si>
    <t xml:space="preserve">  Rekstrargjöld</t>
  </si>
  <si>
    <t>Kostnaðarverð seldra vara</t>
  </si>
  <si>
    <t>Laun og tengd gjöld</t>
  </si>
  <si>
    <t>Skrifstofu- og stjórnunarkostnaður</t>
  </si>
  <si>
    <t>Afskriftir</t>
  </si>
  <si>
    <t>Rekstrargjöld</t>
  </si>
  <si>
    <t xml:space="preserve">  Fjármunatekjur og (fjármagnsgjöld)</t>
  </si>
  <si>
    <t>Fjármunatekjur</t>
  </si>
  <si>
    <t>Arðstekjur</t>
  </si>
  <si>
    <t>Vaxtagjöld og verðbætur</t>
  </si>
  <si>
    <t>Fjármunatekjur - (fjármagnsgjöld)</t>
  </si>
  <si>
    <t>Rekstrarhagnaður</t>
  </si>
  <si>
    <t>Frádráttarbærar arðstekjur</t>
  </si>
  <si>
    <t>1.</t>
  </si>
  <si>
    <t>Skattaleg niðurfærsla 31/12</t>
  </si>
  <si>
    <t>Reikningsleg niðurfærsla 1/1</t>
  </si>
  <si>
    <t>Reikningsleg niðurfærsla 31/12</t>
  </si>
  <si>
    <t>3.</t>
  </si>
  <si>
    <t xml:space="preserve">2. </t>
  </si>
  <si>
    <t>Gengishagnaður</t>
  </si>
  <si>
    <t xml:space="preserve">  </t>
  </si>
  <si>
    <t xml:space="preserve">4. </t>
  </si>
  <si>
    <t>Reikningslegar fyrningar</t>
  </si>
  <si>
    <t>Skattalegar fyrningar</t>
  </si>
  <si>
    <t>Skattalegur söuhagnaður -</t>
  </si>
  <si>
    <t>Aukafyrnt á móti söluhagnaðir</t>
  </si>
  <si>
    <t>5.</t>
  </si>
  <si>
    <t>Skattaleg niðurfærsla 1/1</t>
  </si>
  <si>
    <t>6.</t>
  </si>
  <si>
    <t>Skattaleg niðurfærsla birgða 31/12</t>
  </si>
  <si>
    <t>Skattaleg niðurfærsla birgða 1/1</t>
  </si>
  <si>
    <t>Heiti lykils</t>
  </si>
  <si>
    <t>Vaxtagjöld</t>
  </si>
  <si>
    <t>Dráttarvextir</t>
  </si>
  <si>
    <t>Tekjuskattur</t>
  </si>
  <si>
    <t>Vörubirgðir</t>
  </si>
  <si>
    <t>Tekjuskattsskuldbinding</t>
  </si>
  <si>
    <t>Hlutafé</t>
  </si>
  <si>
    <t>Lögbundinn varasjóður</t>
  </si>
  <si>
    <t>Óráðstafað eigið fé</t>
  </si>
  <si>
    <t>Bókhaldslykill</t>
  </si>
  <si>
    <t>Dagsetning</t>
  </si>
  <si>
    <t>Fylgiskjal</t>
  </si>
  <si>
    <t>Reikningur</t>
  </si>
  <si>
    <t>Lýsing</t>
  </si>
  <si>
    <t>Upphæð</t>
  </si>
  <si>
    <t>Stofnað af</t>
  </si>
  <si>
    <t>Stofn.dags.</t>
  </si>
  <si>
    <t>Birgðir í upphafi</t>
  </si>
  <si>
    <t>Birgðir 1/1 gjaldfærðar</t>
  </si>
  <si>
    <t>Skattar og vátryggingar</t>
  </si>
  <si>
    <t>Sími</t>
  </si>
  <si>
    <t>Vodafone</t>
  </si>
  <si>
    <t>Pappír, prentun og ritföng</t>
  </si>
  <si>
    <t>Prenthylki o.þh.</t>
  </si>
  <si>
    <t>Rekstur tölvukerfis</t>
  </si>
  <si>
    <t>DK</t>
  </si>
  <si>
    <t>Bifreið 01.01.</t>
  </si>
  <si>
    <t>Saldó 1/1 2015</t>
  </si>
  <si>
    <t>Áhöld og tæki 01.01</t>
  </si>
  <si>
    <t>Viðskiptamenn</t>
  </si>
  <si>
    <t>Viðskiptamenn erlendir</t>
  </si>
  <si>
    <t>Varúðarniðurfærsla</t>
  </si>
  <si>
    <t>Fjármagnstekjuskattur, afdreg</t>
  </si>
  <si>
    <t>Tékkareikningur nr. 336</t>
  </si>
  <si>
    <t>NOK 160-38-550010</t>
  </si>
  <si>
    <t>EUR 160-38-710007</t>
  </si>
  <si>
    <t>Órástafað eigið fé 01.01.</t>
  </si>
  <si>
    <t>SP kaupleigusamningur</t>
  </si>
  <si>
    <t xml:space="preserve">LÍ fjármögnunarsamningur SKL </t>
  </si>
  <si>
    <t>Lánardrottnar</t>
  </si>
  <si>
    <t>Visa kort</t>
  </si>
  <si>
    <t>Innskattur v/rekstrar 24,5%</t>
  </si>
  <si>
    <t>Uppgjörsreikningur fyrir vsk.</t>
  </si>
  <si>
    <t>Ógreidd opinber gjöld</t>
  </si>
  <si>
    <t>Þjónustugjöld og fit kostnaðu</t>
  </si>
  <si>
    <t>Þjónustugjald</t>
  </si>
  <si>
    <t>Vísa gr.</t>
  </si>
  <si>
    <t>Vísa</t>
  </si>
  <si>
    <t>Lr. tvífært fskj 46/204</t>
  </si>
  <si>
    <t>R: ISI seafood</t>
  </si>
  <si>
    <t>Gr. til Hellas</t>
  </si>
  <si>
    <t>Holtagata 8 v. Kerra fyrir Hákarl</t>
  </si>
  <si>
    <t>Greitt til Odda fullnaðaruppgjör</t>
  </si>
  <si>
    <t>Seldar vörur (7% vsk)</t>
  </si>
  <si>
    <t>R: Menu Veitingar ehf</t>
  </si>
  <si>
    <t>Útskattur v/7%</t>
  </si>
  <si>
    <t>Rekstur bifreiða án vsk</t>
  </si>
  <si>
    <t>N1</t>
  </si>
  <si>
    <t>Lr. tvífært fskj 48/178</t>
  </si>
  <si>
    <t>LÍ Þjónustugjöld</t>
  </si>
  <si>
    <t>Lr. tvífært fskj 47/187</t>
  </si>
  <si>
    <t>ISI greitt</t>
  </si>
  <si>
    <t>Auglýsingar án vsk.</t>
  </si>
  <si>
    <t>Styrkir - SOS barnaþorp</t>
  </si>
  <si>
    <t>Styrkir - Ísl. lögregluforlagið</t>
  </si>
  <si>
    <t>Ríkissjoðsinnheimtur</t>
  </si>
  <si>
    <t>Landsbankinn</t>
  </si>
  <si>
    <t>Skipti</t>
  </si>
  <si>
    <t>Gr. ýmsir reikningar</t>
  </si>
  <si>
    <t>Reiknaðir skattar ársins</t>
  </si>
  <si>
    <t>Gr. reikningur vegna Menu veitingar</t>
  </si>
  <si>
    <t>Seldur harðfiskur (7% vsk)</t>
  </si>
  <si>
    <t>R: Merlo ehf</t>
  </si>
  <si>
    <t>Flutningskostnaður</t>
  </si>
  <si>
    <t>Flutningur</t>
  </si>
  <si>
    <t>Mf af EUR reikningi á 336</t>
  </si>
  <si>
    <t>Lr. tvífært fskj 49/177</t>
  </si>
  <si>
    <t>LÍ gr. afb 1/1 2015 - 11/36</t>
  </si>
  <si>
    <t>MF til Rekstrarlausna</t>
  </si>
  <si>
    <t>Gunnar</t>
  </si>
  <si>
    <t>Lr. tvífært fskj 50/194</t>
  </si>
  <si>
    <t>Lr. tvífært fskj 51/176</t>
  </si>
  <si>
    <t>Tryggingar starfsfólks</t>
  </si>
  <si>
    <t>Tryggingar 1/3/2015 til 29/2/2016</t>
  </si>
  <si>
    <t>Vátryggingar</t>
  </si>
  <si>
    <t>Vaxtatekjur</t>
  </si>
  <si>
    <t>jona</t>
  </si>
  <si>
    <t>gunna</t>
  </si>
  <si>
    <t>millifært</t>
  </si>
  <si>
    <t>Gr. frá jóni</t>
  </si>
  <si>
    <t>Gr. frá Jóni</t>
  </si>
  <si>
    <t>vélar</t>
  </si>
  <si>
    <t>Trygging</t>
  </si>
  <si>
    <t>Afsláttur tryggingar</t>
  </si>
  <si>
    <t>siggi</t>
  </si>
  <si>
    <t xml:space="preserve">Sala </t>
  </si>
  <si>
    <t>Viðskiptakröfur</t>
  </si>
  <si>
    <t>Aðrar skammtímakröfur</t>
  </si>
  <si>
    <t>Handbært fé</t>
  </si>
  <si>
    <t>Viðskiptaskuldir</t>
  </si>
  <si>
    <t>Aðrar skammtímaskuldir</t>
  </si>
  <si>
    <t>Verkefnið er:</t>
  </si>
  <si>
    <t xml:space="preserve">c) </t>
  </si>
  <si>
    <t>Óleiðréttur prófjöfnuður</t>
  </si>
  <si>
    <t>Leiðréttur prófjöfnuður</t>
  </si>
  <si>
    <t>Afstemming</t>
  </si>
  <si>
    <t>Birgðir</t>
  </si>
  <si>
    <t>Fasteign</t>
  </si>
  <si>
    <t>Skammtímalán</t>
  </si>
  <si>
    <t>Ógr. Áfallinn kostnaður</t>
  </si>
  <si>
    <t>Ógr. Áætlaðir skattar</t>
  </si>
  <si>
    <t>Ýmsar skuldir</t>
  </si>
  <si>
    <t>Langtímalán</t>
  </si>
  <si>
    <t>Langtímalán, næsta árs afb.</t>
  </si>
  <si>
    <t>Sala</t>
  </si>
  <si>
    <t>Laun og launatengd gjöld</t>
  </si>
  <si>
    <t>Sölutap fastafjármuna</t>
  </si>
  <si>
    <t>Debet</t>
  </si>
  <si>
    <t>Kredit</t>
  </si>
  <si>
    <t>Samtals</t>
  </si>
  <si>
    <t>Leiðréttingarfærslur</t>
  </si>
  <si>
    <t>Lykill</t>
  </si>
  <si>
    <t>Heiti</t>
  </si>
  <si>
    <t>Rekstrar- og efnahagsreikningur</t>
  </si>
  <si>
    <t>Rökstuðningur  og útreikningar</t>
  </si>
  <si>
    <t>Varanlegir rekstarfjármunir</t>
  </si>
  <si>
    <t>Kaupár</t>
  </si>
  <si>
    <t>Bókfært verð</t>
  </si>
  <si>
    <t>Kennitölur</t>
  </si>
  <si>
    <t>Aðrar rekstrartekjur</t>
  </si>
  <si>
    <t>Rekstrarhagnaður (-tap)</t>
  </si>
  <si>
    <t>Fjármunatekjur og (fjármagnsgjöld)</t>
  </si>
  <si>
    <t>Hagnaður (tap) fyrir skatta</t>
  </si>
  <si>
    <t>Hagnaður (tap) ársins</t>
  </si>
  <si>
    <t xml:space="preserve">Eignir </t>
  </si>
  <si>
    <t>Fastafjármunir</t>
  </si>
  <si>
    <t>Varanlegir rekstrarfjármunir:</t>
  </si>
  <si>
    <t>Fastafjármunir samtals</t>
  </si>
  <si>
    <t>Veltufjármunir</t>
  </si>
  <si>
    <t xml:space="preserve">Birgðir </t>
  </si>
  <si>
    <t>Eignir samtals</t>
  </si>
  <si>
    <t>Eigið fé og skuldir</t>
  </si>
  <si>
    <t>Skuldir</t>
  </si>
  <si>
    <t>Skuldbindingar :</t>
  </si>
  <si>
    <t>Langtímaskuldir:</t>
  </si>
  <si>
    <t>Skuldir í íslenskum krónum</t>
  </si>
  <si>
    <t>Skammtímaskuldir:</t>
  </si>
  <si>
    <t>Skuldir við lánastofnanir (Bankareikningslán)</t>
  </si>
  <si>
    <t xml:space="preserve">Næsta árs afborganir af langtímaskuldum </t>
  </si>
  <si>
    <t>Skattar ársins</t>
  </si>
  <si>
    <t>Skuldir samtals</t>
  </si>
  <si>
    <t>Eigið fé og skuldir samtals</t>
  </si>
  <si>
    <t>Sjóðstreymi</t>
  </si>
  <si>
    <t>Stigaskor</t>
  </si>
  <si>
    <t>Verkefni 1</t>
  </si>
  <si>
    <t>Meðfylgjandi flipi er ekki ætlaður próftaka heldur prófgerðarmanni til að skrá stigaskor. Vinsamlegast skráið ekkert í þennan flipa.</t>
  </si>
  <si>
    <t>Verkefni 2</t>
  </si>
  <si>
    <t>Verkefni 3</t>
  </si>
  <si>
    <t>Verkefni 5</t>
  </si>
  <si>
    <t>Verkefni 6</t>
  </si>
  <si>
    <t>Verkefni 8a</t>
  </si>
  <si>
    <t>Verkefni 8b</t>
  </si>
  <si>
    <t>Verkefni 8c</t>
  </si>
  <si>
    <t>Verkefni 9</t>
  </si>
  <si>
    <t>Svar</t>
  </si>
  <si>
    <t>Stig</t>
  </si>
  <si>
    <t>Skattframtal lögaðila</t>
  </si>
  <si>
    <t>D</t>
  </si>
  <si>
    <t>Staða</t>
  </si>
  <si>
    <t xml:space="preserve">Hér að neðan eru 5 liðir úr bókhaldi félags. Tilgreinið í hvaða reiti á skattframtali lögaðila RSK 1.04 þeir eiga að fara.  Í fylgiskjali er eyðublað RSK 1.04 til aðstoðar. </t>
  </si>
  <si>
    <t xml:space="preserve">RSK 1.04 - nýjasta útgáfan. </t>
  </si>
  <si>
    <t>Liður í bókhaldi</t>
  </si>
  <si>
    <t>Reitur á framtali</t>
  </si>
  <si>
    <t>Númer</t>
  </si>
  <si>
    <t>Seldar vörur  með 24,0% vsk</t>
  </si>
  <si>
    <t>Seldar vörur (útflutningur)</t>
  </si>
  <si>
    <t>Húsaleigutekjur með 24,0% vsk</t>
  </si>
  <si>
    <t>Innkaup með 24,0% vsk</t>
  </si>
  <si>
    <t>Erlend innkaup</t>
  </si>
  <si>
    <t>Launakostnaður</t>
  </si>
  <si>
    <t>Launatengd gjöld</t>
  </si>
  <si>
    <t>Auglýsingar með 24,0 vsk.</t>
  </si>
  <si>
    <t>Rafmagn með 24,0% vsk</t>
  </si>
  <si>
    <t>Hiti með 11% vsk</t>
  </si>
  <si>
    <t>Húsaleiga með 24,0% vsk</t>
  </si>
  <si>
    <t>Viðhald húsnæðis með 24,0% vsk</t>
  </si>
  <si>
    <t>Ritföng með 24,0% vsk</t>
  </si>
  <si>
    <t>Símakostnaður með 24,0% vsk</t>
  </si>
  <si>
    <t>Þjónustugjöld án vsk</t>
  </si>
  <si>
    <t>Kaffikostnaður með 24,0% vsk.</t>
  </si>
  <si>
    <t>Endurskoðun með vsk.</t>
  </si>
  <si>
    <t>Áskriftir með 11% vsk</t>
  </si>
  <si>
    <t>Tryggingar</t>
  </si>
  <si>
    <t>Tapaðar kröfur með 24,0% vsk</t>
  </si>
  <si>
    <t>Bifreið 1.1</t>
  </si>
  <si>
    <t>Fjármagnstekjuskattur</t>
  </si>
  <si>
    <t xml:space="preserve">Bankareikningur </t>
  </si>
  <si>
    <t>Skammtímaskuldir</t>
  </si>
  <si>
    <t xml:space="preserve">Ógreidd laun </t>
  </si>
  <si>
    <t>Ógreiddur lífeyrissjóður</t>
  </si>
  <si>
    <t>Ógreidd félagsgjöld</t>
  </si>
  <si>
    <t>Ógreidd staðgreiðsla</t>
  </si>
  <si>
    <t>Ógreitt tryggingagjald</t>
  </si>
  <si>
    <t>Uppgjörslykill vsk</t>
  </si>
  <si>
    <t>ALLS</t>
  </si>
  <si>
    <t>Sala 24,0%</t>
  </si>
  <si>
    <t>A</t>
  </si>
  <si>
    <t>B</t>
  </si>
  <si>
    <t>Undanþegin</t>
  </si>
  <si>
    <t>C</t>
  </si>
  <si>
    <t>Útskattur</t>
  </si>
  <si>
    <t>Innskattur</t>
  </si>
  <si>
    <t>E</t>
  </si>
  <si>
    <t>Til greiðslu</t>
  </si>
  <si>
    <t>F</t>
  </si>
  <si>
    <t>Sala 11%</t>
  </si>
  <si>
    <t>Seldar vörur með 11,0% vsk</t>
  </si>
  <si>
    <t>Lausn</t>
  </si>
  <si>
    <t>Hagnaður ársins</t>
  </si>
  <si>
    <t>Laun og staðgreiðsla</t>
  </si>
  <si>
    <t>Laun</t>
  </si>
  <si>
    <t>Mánðarlaun</t>
  </si>
  <si>
    <t>Dagpeningar</t>
  </si>
  <si>
    <t>Færslur í bókhaldi</t>
  </si>
  <si>
    <t>Tryggingargjald</t>
  </si>
  <si>
    <t>Lífeyrissjóðsframlag</t>
  </si>
  <si>
    <t>Sjóðagjöld - mótframlag</t>
  </si>
  <si>
    <t>Ökutækjastyrkur</t>
  </si>
  <si>
    <t>Kaffikostnaður</t>
  </si>
  <si>
    <t>Vinnufatnaður</t>
  </si>
  <si>
    <t>Ógreidd laun</t>
  </si>
  <si>
    <t>Starfsmannafélag</t>
  </si>
  <si>
    <t>lausn</t>
  </si>
  <si>
    <t>Virðisaukaskattur</t>
  </si>
  <si>
    <t>Ársreikningur</t>
  </si>
  <si>
    <t xml:space="preserve">d) </t>
  </si>
  <si>
    <t>Annar rekstrarkostnaður</t>
  </si>
  <si>
    <t>Fjármunatekjur / (fjármagnsgjöld)</t>
  </si>
  <si>
    <t>Eignir</t>
  </si>
  <si>
    <t>Varanlegir rekstrarfjármunir</t>
  </si>
  <si>
    <t>Fjárfesting í hlutabréfum</t>
  </si>
  <si>
    <t>Veltufjármunir:</t>
  </si>
  <si>
    <t>Fastafjármunir:</t>
  </si>
  <si>
    <t>Varasjóður</t>
  </si>
  <si>
    <t>Langtímaskuldir</t>
  </si>
  <si>
    <t>Næsta árs afborganir langtímalána</t>
  </si>
  <si>
    <t>Settu svarið skýrt fram, notaðu 2 aukastafi í lausn</t>
  </si>
  <si>
    <t>Skattskil einstaklings</t>
  </si>
  <si>
    <t>birgðir</t>
  </si>
  <si>
    <t>Arðgreiðsla</t>
  </si>
  <si>
    <t>Fjármagnstekjuskattur af arðgreiðslu</t>
  </si>
  <si>
    <t xml:space="preserve">Jafnt vægi er á hverri krossaspurningu (1,2% hvers kross) og ekki er dregið frá fyrir rangt svar. </t>
  </si>
  <si>
    <t>Flokkur ársreiknings</t>
  </si>
  <si>
    <t>LAUSN</t>
  </si>
  <si>
    <t>Reitur</t>
  </si>
  <si>
    <t>Útvarpsgjald</t>
  </si>
  <si>
    <t>Undanþ.</t>
  </si>
  <si>
    <t>Innskattur (sundurliðun fyrir neðan)</t>
  </si>
  <si>
    <t>Áhöld og tæki</t>
  </si>
  <si>
    <t>Innskattur í tolli</t>
  </si>
  <si>
    <t>Skýrsla rétt</t>
  </si>
  <si>
    <t>sala</t>
  </si>
  <si>
    <t>aðrar rekstrartekjur</t>
  </si>
  <si>
    <t>vaxtatekjur</t>
  </si>
  <si>
    <t>vaxtagjöld</t>
  </si>
  <si>
    <t>kostnaðarverð seldra vara</t>
  </si>
  <si>
    <t>laun og launatengd gjöld</t>
  </si>
  <si>
    <t>skrifstofu- og stjórnunarkostnaður</t>
  </si>
  <si>
    <t>tekjuskattur</t>
  </si>
  <si>
    <t>annar kostnaður</t>
  </si>
  <si>
    <t>fasteignir</t>
  </si>
  <si>
    <t>Fasteignir</t>
  </si>
  <si>
    <t>lögbundinn varasjóður</t>
  </si>
  <si>
    <t>viðskiptaskuldir</t>
  </si>
  <si>
    <t>tekjuskattsskuldbinding</t>
  </si>
  <si>
    <t>óráðstafað eigið fé</t>
  </si>
  <si>
    <t>aðrar skammtímaskuldir</t>
  </si>
  <si>
    <t>skattar ársins</t>
  </si>
  <si>
    <t>skuldir í íslenskum krónum</t>
  </si>
  <si>
    <t>Veitingar v risnu og fundarkostnaðar 24,0% vsk.</t>
  </si>
  <si>
    <t>Veitingar v risnu og fundarkostn.</t>
  </si>
  <si>
    <t>Sala A og B rétt</t>
  </si>
  <si>
    <t>Stig :</t>
  </si>
  <si>
    <t>Framsetning og skiljanleiki</t>
  </si>
  <si>
    <t>Athugið að setja ný "sheet" sem þið þurfið að búa til til hægri við "sheet" V8 Excel</t>
  </si>
  <si>
    <t xml:space="preserve">Vörukaup ársins voru gjaldfærð í bókhaldi félagsins, og hefur engin leiðrétting verið gerð vegna birgðabreytinga. </t>
  </si>
  <si>
    <t>2. Reitir á framtali (6%)</t>
  </si>
  <si>
    <t xml:space="preserve">Krossaspurningar </t>
  </si>
  <si>
    <t>Virðisaukaskattskyld sala, 24%</t>
  </si>
  <si>
    <t>Virðisaukaskattskyld sala, 11%</t>
  </si>
  <si>
    <t xml:space="preserve">Velta undanþegin vsk. skv. 12. gr. </t>
  </si>
  <si>
    <t>Rekstur bifreiðar eiganda</t>
  </si>
  <si>
    <t xml:space="preserve"> </t>
  </si>
  <si>
    <t>Verkefni 5 - 9%  (27 mínútur)</t>
  </si>
  <si>
    <t>Verkefni 2 - 6% (18 mínútur)</t>
  </si>
  <si>
    <t>Verkefni 3 - 15% (45 mínútur)</t>
  </si>
  <si>
    <t>Viðskiptaskuldir og aðrar skammtímakskuldir</t>
  </si>
  <si>
    <t>Verkefni 7 -  4% (12 mínútur)</t>
  </si>
  <si>
    <t>Lántaka</t>
  </si>
  <si>
    <t>Vextir</t>
  </si>
  <si>
    <t>Annar rekstrarkotsnaður</t>
  </si>
  <si>
    <t>Sölu- og stjórnunarkostnaður</t>
  </si>
  <si>
    <t>Innréttingar og búnaður</t>
  </si>
  <si>
    <t>innréttingar og búnaður</t>
  </si>
  <si>
    <t>Skammtímakröfur og fyrirframgreiðslur</t>
  </si>
  <si>
    <t>skammtímakröfur og fyrirframgreiðslur</t>
  </si>
  <si>
    <t xml:space="preserve">Reikna þarf skatt til greiðslu miðað við 20% tekjuskatt. Gera skal ráð fyrir að ekki sé munur á skattalegri og reikningslegri meðhöndlun.  Ekki þarf að huga að breytingu á tekjuskattsskuldbindingu. </t>
  </si>
  <si>
    <t>Hagnaður fyrir skatta</t>
  </si>
  <si>
    <t>Fjárhæð</t>
  </si>
  <si>
    <t>Varúðar%</t>
  </si>
  <si>
    <t>4.2.</t>
  </si>
  <si>
    <t>Fylgiskjöl:</t>
  </si>
  <si>
    <t>Nokkra liði er hægt að setja fram með ýmsum hætti, horft verður til þess hvort heildarleiðrétting er rétt</t>
  </si>
  <si>
    <t xml:space="preserve"> Rekstur bifreiðar eiganda</t>
  </si>
  <si>
    <t>Innskattur réttur í heild</t>
  </si>
  <si>
    <t>Verkefni 9 -  27% (81 mínúta)</t>
  </si>
  <si>
    <t xml:space="preserve">Hér að neðan eru 8 liðir úr bókhaldi félags. Tilgreinið í hvaða reiti á skattframtali lögaðila, RSK 1.04, þeir eiga að fara.  Í fylgiskjali er eyðublað RSK 1.04 til aðstoðar. </t>
  </si>
  <si>
    <t xml:space="preserve">a) </t>
  </si>
  <si>
    <t xml:space="preserve">Langtímalán </t>
  </si>
  <si>
    <t>Lækkun hlutafjár</t>
  </si>
  <si>
    <t>Kostnaður vegna kaffistofu starfsmanna</t>
  </si>
  <si>
    <t>Innréttingar og búnaður 1.1.</t>
  </si>
  <si>
    <t>Staðgreiðslu er skipt í 2 þrep, skv. neðangreindu:</t>
  </si>
  <si>
    <t>E.v.</t>
  </si>
  <si>
    <t>Flokkur í ársreikningi</t>
  </si>
  <si>
    <t>Rekstur / Efnahagur</t>
  </si>
  <si>
    <t xml:space="preserve">Flutningur </t>
  </si>
  <si>
    <t xml:space="preserve">Innkaup </t>
  </si>
  <si>
    <t>Starfsmannakostnaður</t>
  </si>
  <si>
    <t xml:space="preserve">Laun </t>
  </si>
  <si>
    <t>Laun fyrir janúar</t>
  </si>
  <si>
    <t>Ógreidd launatengd gjöld</t>
  </si>
  <si>
    <t>Rekstur</t>
  </si>
  <si>
    <t>Efnahagur</t>
  </si>
  <si>
    <t>Annar rekstarkostnaður</t>
  </si>
  <si>
    <t>Vaxtatekjur og vaxtagjöld</t>
  </si>
  <si>
    <t>FYRNINGASKÝRSLA:</t>
  </si>
  <si>
    <t>Dagsetning:</t>
  </si>
  <si>
    <t>Fjöldi mánuða</t>
  </si>
  <si>
    <t>Keypt</t>
  </si>
  <si>
    <t>(Selt)</t>
  </si>
  <si>
    <t>Stofnverð í ársbyrjun</t>
  </si>
  <si>
    <t>Fyrningar í ársbyrjun</t>
  </si>
  <si>
    <t>Áætlað hrakvirði</t>
  </si>
  <si>
    <t>Mán (1-12)</t>
  </si>
  <si>
    <t>Kaupverð</t>
  </si>
  <si>
    <t>Söluverð 
(í mínus)</t>
  </si>
  <si>
    <t>Fyrningar-grunnur</t>
  </si>
  <si>
    <t>Fyrn-hlutf</t>
  </si>
  <si>
    <t>Almenn fyrning</t>
  </si>
  <si>
    <t>Sölu- (hagn)/tap</t>
  </si>
  <si>
    <t>Fengnar fyrningar</t>
  </si>
  <si>
    <t>Fasteignir samtals</t>
  </si>
  <si>
    <t>SAMTALS</t>
  </si>
  <si>
    <t>Lán 1</t>
  </si>
  <si>
    <t>Félagið er með tvö langtímalán sem greinast þannig:</t>
  </si>
  <si>
    <t>Lán 2</t>
  </si>
  <si>
    <t>Verðtrygging</t>
  </si>
  <si>
    <t>Já</t>
  </si>
  <si>
    <t>Nei</t>
  </si>
  <si>
    <t>Síðasta afborgun, og vaxtagreiðsla</t>
  </si>
  <si>
    <t>Fjöldi afborgana á ári</t>
  </si>
  <si>
    <t>Fjöldi afborgana eftir</t>
  </si>
  <si>
    <t>Síðasti vísitöl-uppreikningur</t>
  </si>
  <si>
    <t>Staða í bókhaldi</t>
  </si>
  <si>
    <t>Aðrar upplýsingar fyrir bókun sölu</t>
  </si>
  <si>
    <t>Stofnverð við sölu</t>
  </si>
  <si>
    <t>Fengnar fyrningar v. sölu</t>
  </si>
  <si>
    <t>Bókfært verð við sölu</t>
  </si>
  <si>
    <t>12</t>
  </si>
  <si>
    <t>Reiknisstærðir</t>
  </si>
  <si>
    <t>Innréttingar og búnaður samtals</t>
  </si>
  <si>
    <t>Viðskiptakröfur, varúðarniðurfærsla</t>
  </si>
  <si>
    <t>(Hagnaður) tap ársins</t>
  </si>
  <si>
    <t>Varúð 1.1</t>
  </si>
  <si>
    <t>Varúð 31.12.</t>
  </si>
  <si>
    <t>Breyting færð í restur</t>
  </si>
  <si>
    <t>Krafa á tengda aðila</t>
  </si>
  <si>
    <t xml:space="preserve">Tapaðar kröfur </t>
  </si>
  <si>
    <t>6. Tekjuksattur</t>
  </si>
  <si>
    <t>Útreikningar með lausn</t>
  </si>
  <si>
    <t>Styrkir</t>
  </si>
  <si>
    <t xml:space="preserve">Verkefni þitt er að gera viðeigandi leiðréttingar í bókhald félagsins þannig að birgðastaða í lok árs verði rétt í samræmi við ofangreindar upplýsingar. </t>
  </si>
  <si>
    <t xml:space="preserve">Starfsemi undanþegin vsk. skv. 2. gr. </t>
  </si>
  <si>
    <t>Upplýsingar:</t>
  </si>
  <si>
    <t>Hagnaður fyrir skatta skv. ársreikningi</t>
  </si>
  <si>
    <t>Tap af sölu fastafjármuna</t>
  </si>
  <si>
    <t>Verkefni 6 - 5% ( 18 mínútur)</t>
  </si>
  <si>
    <r>
      <t xml:space="preserve">
Ekki þarf að bæta við bókhaldslyklum í prófjöfnuðinn. 
</t>
    </r>
    <r>
      <rPr>
        <b/>
        <sz val="11"/>
        <color theme="1"/>
        <rFont val="Calibri"/>
        <family val="2"/>
        <scheme val="minor"/>
      </rPr>
      <t>Athugið að handbært fé hefur verið stemmt af og stemmir við bankareikning félagsins. Ekki þarf að gera neinar leiðréttingar eða færslur á handbært fé.</t>
    </r>
  </si>
  <si>
    <t>Arður til eigenda</t>
  </si>
  <si>
    <t>Varúðarniðurfærsla, krafna</t>
  </si>
  <si>
    <t>Verkefni 1 - 12% (36 mínútur)</t>
  </si>
  <si>
    <t>Excel</t>
  </si>
  <si>
    <t>Svein Sigurðsson hefur tekið að sér kennslu í verktöku. Hann gerir ráð fyrir að tekjur hans af þessari starfsemi nemi um kr. 7.000.000 á ársgrundvelli. Undir hvaða flokk falla þessar tekjur skv. lögum um virðisaukaskatt?</t>
  </si>
  <si>
    <t xml:space="preserve">Kr. 5.000.000 debet á óráðstafað eigið fé og kredit á banka. </t>
  </si>
  <si>
    <t xml:space="preserve">Kr. 5.000.000 debet á hlutafé og kredit á banka. </t>
  </si>
  <si>
    <t>Meðal skrifstofu- og stjórnunarkostnaðar eru færðir  styrkir til stjórnmálaflokka að fjárhæð kr. 15.000.000.</t>
  </si>
  <si>
    <t xml:space="preserve">Á árinu var greiddur kr. 200.000.000 arður til eiganda félagsins. </t>
  </si>
  <si>
    <t>Gengishagnaður ársins 2017 - bakfærður</t>
  </si>
  <si>
    <t>1/3 hluti gengishagnaðar ársins 2017 færður til tekna</t>
  </si>
  <si>
    <t>Reikningslegt sölutap</t>
  </si>
  <si>
    <t>7.</t>
  </si>
  <si>
    <t>1/3 hluti gengistaps ársins 2015 færðt til gjalda</t>
  </si>
  <si>
    <t xml:space="preserve">Kr. 5.000.000 debet á óráðstafað eigið fé, kr. 800.000 kredit á ógreiddur fjármagnstekjuskattur og kr. 4.200.000 kredit á banka. </t>
  </si>
  <si>
    <t xml:space="preserve">Kr. 5.000.000 debet á hlutafé, kr. 800.000 kredit á ógreiddur fjármagnstekjuskattur og kr. 4.200.000 kredit á banka. </t>
  </si>
  <si>
    <t>Efnahagsreikningar áranna 2015, 2016 og 2017</t>
  </si>
  <si>
    <t>Veltuhraði birgða</t>
  </si>
  <si>
    <t>Lausafjárhlutfall</t>
  </si>
  <si>
    <t>Eiginfjárhlutfall</t>
  </si>
  <si>
    <t>R: fjárvarsla</t>
  </si>
  <si>
    <t>Vaxtaregla</t>
  </si>
  <si>
    <t>30/360</t>
  </si>
  <si>
    <t>30/361</t>
  </si>
  <si>
    <t>Valkvætt er hvort rammi af fyrningaskýrslu sem fylgir með í sér flipa er notaður. Ekki þarf að huga að skattareglum við útreikning fyrninga.</t>
  </si>
  <si>
    <t>Kröfur eldri en 75 daga</t>
  </si>
  <si>
    <t>Aðrar kröfur</t>
  </si>
  <si>
    <t>Krafa á gjaldþrota félag</t>
  </si>
  <si>
    <t>Viðskiptareikningur eiganda</t>
  </si>
  <si>
    <t>Hlutabréf</t>
  </si>
  <si>
    <t>Innréttingar, tæki og búnaður</t>
  </si>
  <si>
    <t>Áhættufjármunir:</t>
  </si>
  <si>
    <t>Skuld við tengdan aðila</t>
  </si>
  <si>
    <t>Skuld við eiganda</t>
  </si>
  <si>
    <t>Vörusalan ehf</t>
  </si>
  <si>
    <t>Tekjur af útflutningi</t>
  </si>
  <si>
    <t>Rekstur sendibifreiða, með 24% vsk</t>
  </si>
  <si>
    <t>Húsnæðishlunnindi</t>
  </si>
  <si>
    <t>Fyrningar skv. ársreikningi (þ.e. Reikningslegar fyrningar)</t>
  </si>
  <si>
    <t>Mismunur reikningslegra og skattalegra fyrninga</t>
  </si>
  <si>
    <t>Eignarhlutir í innlendum dótturfélögum</t>
  </si>
  <si>
    <t>Afstemming bankareiknings</t>
  </si>
  <si>
    <t>Staða samkvæmt bankayfirliti í lok september nam kr. :</t>
  </si>
  <si>
    <t xml:space="preserve">Staða samkvæmt bókhaldi í lok september nam kr. </t>
  </si>
  <si>
    <t xml:space="preserve">Aðalbókarinn lagði í þá vinnu að greina í hverju mismunurinn lægi með því að bera saman færslur í bókhaldi við hreyfingar á bankareikningi og fann eftirfarandi færslur sem annað hvort var eingöngu að finna í bankahreyfingum eða í bókhaldi. </t>
  </si>
  <si>
    <t>Afstemming dagsetning:</t>
  </si>
  <si>
    <t>Mynt:</t>
  </si>
  <si>
    <t>ISK</t>
  </si>
  <si>
    <t>Dags</t>
  </si>
  <si>
    <t>Skýring</t>
  </si>
  <si>
    <t>Texti</t>
  </si>
  <si>
    <t xml:space="preserve">Staða bókhalds </t>
  </si>
  <si>
    <t>Leiðrétt staða bókhalds</t>
  </si>
  <si>
    <t>F.skjal</t>
  </si>
  <si>
    <t>Staða banka</t>
  </si>
  <si>
    <t>Leiðrétt staða banka</t>
  </si>
  <si>
    <t>Mismunur</t>
  </si>
  <si>
    <t xml:space="preserve">Verkefni þitt er að stilla upp afstemmingu á bankareikningum miðað við ofangreindar upplýsingar og leiða út ófærðar færslur í bókhaldi og/eða nauðsynlegar leiðréttingar á bókhaldsfærslum til þess að bankareikningurinn verði réttur. Þú getur notað eyðublaðið hér fyrir neðan fyrir þetta verkefni eða stillt upp eigin afstemmingu. Mundu að framsetning sér skýr og auðskiljanleg. </t>
  </si>
  <si>
    <t>Afstemming í heild</t>
  </si>
  <si>
    <t>Færsla 1</t>
  </si>
  <si>
    <t>Færsla 2</t>
  </si>
  <si>
    <t>Færsla 3</t>
  </si>
  <si>
    <t>Færsla 4</t>
  </si>
  <si>
    <t xml:space="preserve">Að kvöldi 30. september greiddi fjármálastjóri kr. 951.000 til lánadrottins Þjónustan ehf. búið er að færa færsluna í bókhald félagsins en hún kemur ekki fram á yfirliti bankans fyrr en 1. október með vaxtadag 30. september. </t>
  </si>
  <si>
    <t>Verkefni 4 - 7% (21 mínútur)</t>
  </si>
  <si>
    <t xml:space="preserve">Heildsalan ehf. </t>
  </si>
  <si>
    <t>Heildsalan ehf.</t>
  </si>
  <si>
    <t>Innréttingar og búnaður viðbætur ársins</t>
  </si>
  <si>
    <t>Fæðishlunnindi</t>
  </si>
  <si>
    <t>Mótreikningur fæðishlunninda</t>
  </si>
  <si>
    <t xml:space="preserve">Verkefni þitt er að reikna laun og launatengd gjöld ásamt afdráttarliðum og færa viðeigandi færslur í bókhaldi Heildsölunnar ehf. vegna launagreiðslunnar. Til þess að leysa verkefnið af hendi þarft þú m.a. að finna stofn til staðgreiðslu ásamt stofni til útreiknings tryggingagjalds. Gerðu ráð fyrir að laun til Sólveigar séu ógreidd í lok tímabilsins. </t>
  </si>
  <si>
    <t xml:space="preserve">Prófjöfnuður (aðalbók) félagsins liggur fyrir - sjá fylgiskjal. Sömuleiðis liggur fyrir form fyrir rekstrar- og efnahagsreiknings sem fylla þarf út.
Hér á eftir eru atriði sem þarf að taka tillit til og meta hvort og þá hvernig færa skuli leiðréttingar í bókhaldi félagsins áður en rekstrar- og efnahagsreikningur eru gerðir.  
Rökstyðja skal forsendur fyrir leiðréttingum í stuttu máli og/eða með skýrum útreikningum.  Ef niðurstaðan er að upplýsingar sem fram koma hér á eftir hafi ekki áhrif og kalli ekki á leiðréttingar skal setja fram rökstuðning fyrir því mati. 
Við mat á úrlausn verður horft til faglegrar þekkingar við úrlausnina. Lögð er áhersla á að lausnin sé skýrt framsett og auðrekjanleg. Tryggið að hægt sé með auðveldum hætti að rekja leiðréttingar.  
Færið leiðréttingar eftir því sem þið teljið tilefni til m.t.t. upplýsinganna hér á eftir.  Setjið leiðréttingarfærslur fram í þar til gerðum dálkum hér fyrir neðan (dálkar j til n), með tilvísun í númer leiðréttingar. Bætið inn línum fyrir neðan hvert úrlausnaratriði eftir þörfum.
</t>
  </si>
  <si>
    <t xml:space="preserve">Í lok ársins nam kostnaðarverð vörubirgða kr. 98.000.000. Fyrir liggur að vörur að kostnaðarverði kr. 14.000.000 voru seldar á útsölu í janúar samtals að söluverðmæti kr. 10.000.000. Við vörutalningu um áramótin kom í ljós að vörur að kostnaðarverði kr. 7.000.000 eru ónýtar. </t>
  </si>
  <si>
    <t xml:space="preserve">Stjórnendur hafa yfirfarið viðskiptakröfur félagsins í lok ársins m.t.t. innheimtanleika. Mat þeirra er að nauðsynlegt sé að færa niðurfærslu sbr. neðangreint.  </t>
  </si>
  <si>
    <t>Birgðir nema kr. 7.500.000 í lok ársins. Innkaup ársins námun 17.000.000 og kostnaðarverð seldra vara nam 17.500.000 á árinu. Hver var birgðastaðan í upphafi ársins?</t>
  </si>
  <si>
    <t>Sérstak tekjumat RSK</t>
  </si>
  <si>
    <t xml:space="preserve">Krossaspurningar, 10 spurningar. </t>
  </si>
  <si>
    <t xml:space="preserve">Skattframtal </t>
  </si>
  <si>
    <t>hlutfall</t>
  </si>
  <si>
    <t>Mínútur</t>
  </si>
  <si>
    <t>Laun og launatengdgjöld</t>
  </si>
  <si>
    <t>Afstemmingar</t>
  </si>
  <si>
    <t>Upplýingatækni</t>
  </si>
  <si>
    <t>Merkt</t>
  </si>
  <si>
    <t>V1</t>
  </si>
  <si>
    <t>V2</t>
  </si>
  <si>
    <t>V3</t>
  </si>
  <si>
    <t>Svara hér</t>
  </si>
  <si>
    <t>Leiðrétt staða….</t>
  </si>
  <si>
    <t>Verkefni 7 -  3% (9 mínútur)</t>
  </si>
  <si>
    <t xml:space="preserve">færsla nr. </t>
  </si>
  <si>
    <t>texti í færslu…..</t>
  </si>
  <si>
    <t>fjárhæð</t>
  </si>
  <si>
    <t>Efnahagsreikningur</t>
  </si>
  <si>
    <t>sýnifærsla</t>
  </si>
  <si>
    <t>hlutafé</t>
  </si>
  <si>
    <t>heiti…</t>
  </si>
  <si>
    <t>Félagið stofna með hlutafé 01.01.</t>
  </si>
  <si>
    <t>Fjárhæð viðskiptakrafna sem birtist á efnahagsreikningi þann 31.12.</t>
  </si>
  <si>
    <t>Fæarla</t>
  </si>
  <si>
    <t>Færsla 5</t>
  </si>
  <si>
    <t>sýnisfærsla …...........</t>
  </si>
  <si>
    <t xml:space="preserve">fjárhæð </t>
  </si>
  <si>
    <t>einkunn</t>
  </si>
  <si>
    <t xml:space="preserve">nr. </t>
  </si>
  <si>
    <t>Sjóður/eign</t>
  </si>
  <si>
    <t>Skýringar á excel-blöðum</t>
  </si>
  <si>
    <t>V8 Excel 9%</t>
  </si>
  <si>
    <t>Þetta blað er forsíða og til upplýsingu um spurninguna</t>
  </si>
  <si>
    <t>V8 Hreyfingar</t>
  </si>
  <si>
    <t>V8 Svarblað A)</t>
  </si>
  <si>
    <t>Hér skal leysa A) hluta í dæminu.</t>
  </si>
  <si>
    <t>A)</t>
  </si>
  <si>
    <t>C)</t>
  </si>
  <si>
    <t>Innan hverrar dagsetningar þarf að ræða þannig að lægsta fjárhæðin kemur</t>
  </si>
  <si>
    <t xml:space="preserve">fyrst í röðinni innan dagsins sem svo stig hækkar eftir fjölda færslna á hverju degi. </t>
  </si>
  <si>
    <t xml:space="preserve">B) </t>
  </si>
  <si>
    <t>V8 Svarblað B)</t>
  </si>
  <si>
    <t xml:space="preserve">Hér skal leysa B) hluta í dæminu. </t>
  </si>
  <si>
    <t xml:space="preserve">Hér skal leysa C) hluta í dæminu. </t>
  </si>
  <si>
    <t>V8 Svarblað C)</t>
  </si>
  <si>
    <t>B) liður</t>
  </si>
  <si>
    <t>A) liður</t>
  </si>
  <si>
    <t>Reiknið hver sé staða tékkareiknings í lok janúarmánúðar.</t>
  </si>
  <si>
    <t>Raðið hreyfingunum eftir númeri bókhaldslykils og reiknið stöðu tékkareikning í lok janúarmánúðar.</t>
  </si>
  <si>
    <t>Verkefni 8 - 9% (27 mínútur)</t>
  </si>
  <si>
    <t>raða bókhalslyklum</t>
  </si>
  <si>
    <t>staða tékkareiknings</t>
  </si>
  <si>
    <t>raða eftir dagsetningum</t>
  </si>
  <si>
    <t>raða innan dagsetninga</t>
  </si>
  <si>
    <t>Pivot tafla</t>
  </si>
  <si>
    <t xml:space="preserve">Raðið eftir dagsetningarröð þannig að 1. jan. er fremstur og 31. jan. er síðstur. Innan hverrar dagsetningar þarf að ræða þannig að lægsta fjárhæðin kemur fyrst í röðinni innan dagsins sem svo stig hækkar eftir fjölda færslna á hverju degi. </t>
  </si>
  <si>
    <t xml:space="preserve">Gerið pivot töflu þannig:  Að fram komi heildarupphæð færð á hvern "flokk í ársreikningi" sem fram kemur í dálki I. Einnig skal skal sýna heildarfjárhæð færslna í hverjum flokki sem hver notandi sbr. dálkur g færði. 
Gerið eina töflu.  Pivot taflan á að vera í blaði "V8 Svarblað C)".  </t>
  </si>
  <si>
    <t>V5</t>
  </si>
  <si>
    <t>V6</t>
  </si>
  <si>
    <t>V8a</t>
  </si>
  <si>
    <t>V8b</t>
  </si>
  <si>
    <t>V8c</t>
  </si>
  <si>
    <t>Verkefni 4 - 3% (9 mínútur)</t>
  </si>
  <si>
    <t>Fasteignum hf. alls 60m2. Hann hefur því ekki mikið pláss fyrir að geyma rekstrarvörur</t>
  </si>
  <si>
    <t>sínar og hefur fengið smá pláss, 10m2, sem geymsluaðstöðu hjá Matvörubúiðinni hf. sem</t>
  </si>
  <si>
    <t>er starfrækt í sama húsnæði. Haraldur hefur ekki aðgang að húsnæðinu en sækir vörur</t>
  </si>
  <si>
    <t xml:space="preserve">þegar Matvörubúin er opin. </t>
  </si>
  <si>
    <t>Haraldur er hárskerameistari og rekur sína eigin stofu. Hann leigir húsnæði af</t>
  </si>
  <si>
    <t xml:space="preserve">Nú hefur reikningur borist frá Matvörubúðinni hf. fyrir geymsluaðstöðuna, 10m2, </t>
  </si>
  <si>
    <t xml:space="preserve">sem nær yfir árið sem er að líða, janúar til desember, kr. 120.000 án vsk. og m.a. </t>
  </si>
  <si>
    <t>kemur fram á reikningi.</t>
  </si>
  <si>
    <t>Geymsluaðstaða, 10m2,</t>
  </si>
  <si>
    <t xml:space="preserve">kr. </t>
  </si>
  <si>
    <t>Greiðslugjald</t>
  </si>
  <si>
    <t xml:space="preserve">Virðisaukaskattur, </t>
  </si>
  <si>
    <t>Heildarfjárhæð…..................................</t>
  </si>
  <si>
    <t>Haraldur hefur tekið eftir því að reikningur frá Fasteignum hf. er án virðisaukaskatts.</t>
  </si>
  <si>
    <t xml:space="preserve">Svo honum finnst þetta dálítið skrítið að greiða virðisauksatt vegna geymlsuplássins. </t>
  </si>
  <si>
    <t xml:space="preserve">Haraldur kemur til þín og óskar eftir ráðgjöf vegna reikningsins frá Matvörubúiðinni hf. </t>
  </si>
  <si>
    <t xml:space="preserve">sem hefur skrásett vsk-númer. </t>
  </si>
  <si>
    <t>1) Á Haraldur að endursenda reikninginn og þá af hverju?</t>
  </si>
  <si>
    <t>2) Ef Haraldur samþykkir reikninginn hvernig skal hann vera bóðaður?</t>
  </si>
  <si>
    <t>Svar við lið 2)</t>
  </si>
  <si>
    <t>Texti í bókhaldi</t>
  </si>
  <si>
    <t xml:space="preserve">Heiti á </t>
  </si>
  <si>
    <t>bókhaldslykli</t>
  </si>
  <si>
    <t xml:space="preserve">Fjárhæð í kr. </t>
  </si>
  <si>
    <t>Debit</t>
  </si>
  <si>
    <t>Liður nr. 1</t>
  </si>
  <si>
    <t>samtals….............................</t>
  </si>
  <si>
    <t>færsla 1</t>
  </si>
  <si>
    <t>færsla 2</t>
  </si>
  <si>
    <t>færsla 3</t>
  </si>
  <si>
    <t>færsla 4</t>
  </si>
  <si>
    <t>sjá blað…V9 b) Ársreikningur</t>
  </si>
  <si>
    <t>Verkefni 4a</t>
  </si>
  <si>
    <t>Verkefni 4b</t>
  </si>
  <si>
    <t>Verkefni 7a</t>
  </si>
  <si>
    <t>Verkefni 7b</t>
  </si>
  <si>
    <t>Viðurkenndir bókarar</t>
  </si>
  <si>
    <t>Prófhluti nr. 3</t>
  </si>
  <si>
    <t>SÝNISPRÓF</t>
  </si>
  <si>
    <t>haust xxxx</t>
  </si>
  <si>
    <t>Fjárhæð viðskiptakrafna í ársreikningi</t>
  </si>
  <si>
    <t xml:space="preserve">Prófjöfnuður, ársreikningur ofl. </t>
  </si>
  <si>
    <t>Afstemmig vegna viðskiptakrafna og óbeinna afskrifta/niðurfærslu viðskiptakrafna.</t>
  </si>
  <si>
    <t>Innra eftirlit</t>
  </si>
  <si>
    <t xml:space="preserve">Þegar mat á áhættuþáttum í viðkomandi rekstri liggur fyrir þarf að setja markmið sem eftirlitsaðgerðum er ætlað að ná. Hvað lýsir áhættuvilja (risk appetite) einna best. </t>
  </si>
  <si>
    <t xml:space="preserve">Ekkert af ofangreindu er rétt. </t>
  </si>
  <si>
    <t>Stöðugt koma fram nýir áhættuþættir, t.d. vegna lagabreytinga eða tækniþróunar.</t>
  </si>
  <si>
    <t>Sú áhætta sem stjórnendur eru tilbúnir að taka til að ná settum markmiðum..</t>
  </si>
  <si>
    <t>Ásættanleg frávik í rekstri með hliðsjón af settum markmiðum.</t>
  </si>
  <si>
    <t>Eftirlitsaðgerð sem er valin í þeim tilgangi að draga úr áhættu.</t>
  </si>
  <si>
    <t>Mikil endurnýjun í hópi starfsfólks, t.d. nýir starfsmenn í lykilstöðum.</t>
  </si>
  <si>
    <t>Breyttar þarfir viðskiptavina.</t>
  </si>
  <si>
    <t>Breytingar í efnahagslífi</t>
  </si>
  <si>
    <t>Að viðurkenndur bókari skráir bókhald.</t>
  </si>
  <si>
    <t>Ekkert af ofangreindu er rétt.</t>
  </si>
  <si>
    <t>Við greiningu á áhættuþáttum í tilteknum rekstri þurfa stjórnendur að horfa bæði til þátta innan og utan viðkomandi stofnunar eða fyrirtækis, þar á meðal samskipta við utanaðkomandi aðila. Hvaða þáttur tengist innri áhættuþátts félagsins:</t>
  </si>
  <si>
    <t>Sýnispróf er til þess að gefa vísbendingu hvernig próf er uppbyggt.</t>
  </si>
  <si>
    <t>Hlutfallsleg breyting á efnisflokkum getur verið um að ræða.</t>
  </si>
  <si>
    <t>Framsetning á spurningum getur verið frábrugðið þeim sem hér er, og fer það eftir efnisinnihaldi spurningar.</t>
  </si>
  <si>
    <t>Lesið vel spurningar áður en byrjað er að svara og sparið reglulega, á hverri minútu.</t>
  </si>
  <si>
    <t xml:space="preserve">Nauðsynlegt er að kunna á excel áður en svarað er. </t>
  </si>
  <si>
    <t>Á árinu 2019 greiddi Verslun ehf. kr. 5.000.000 í arð til eigenda sinna, vegna ársins 2018, eigandinn fékk arðinn greiddan í júní 2019. Hvernig skal færa þessa greiðslu í bókhaldi félagsins í árslok 2018?</t>
  </si>
  <si>
    <t>Liður nr. 2;</t>
  </si>
  <si>
    <t>samtals…..</t>
  </si>
  <si>
    <t>SVAR hér….</t>
  </si>
  <si>
    <t>liður 1</t>
  </si>
  <si>
    <t>liður 2</t>
  </si>
  <si>
    <t>svar… pivot tafla…</t>
  </si>
  <si>
    <t>V9a+b</t>
  </si>
  <si>
    <t>V7b</t>
  </si>
  <si>
    <t>V7a</t>
  </si>
  <si>
    <t>V4b</t>
  </si>
  <si>
    <t>V4a</t>
  </si>
  <si>
    <t>Efnisþekkingu og kunnáttu frá prófhlutum nr. 1 og nr. 2 eru hér undirliggjandi þáttur.</t>
  </si>
  <si>
    <t xml:space="preserve">Raunhæft bókhaldsverkefni, krossaspurningar, einstök dæmi og uppgjör. </t>
  </si>
  <si>
    <t>Prófhluti nr. 3, verklegt verkefni, excel.</t>
  </si>
  <si>
    <t>Sjálfval hvort þessi fyrningarskýrsla er notuð við lausn eða ekki</t>
  </si>
  <si>
    <t>Eigið fé Verslunar ehf. nam kr. 2.600.000 þann 31.12.2019. Hagnaður ársins nam kr. 1.400.000. Á árinu var hlutafé hækkað um kr. 700.000 á genginu 1:1. Þann 1.1.2019 nam eigið fé kr. 2.000.000. Engar aðrar breytingar voru á eiginfjárreikningum nema arðgreiðsla. Hve hár var sá arður sem greiddur var úr félaginu árið 2019?</t>
  </si>
  <si>
    <t>Sigurlína Sigurjónsdóttir stundar talsverð viðskipti með verðbréf í eigin nafni. Á árinu 2019 nam söluhagnaður hennar af hlutabréfum kr. 2.000.000 og sölutap af hlutabréfum nam kr. 500.000. Sölutap af öðrum verðbréfum nam kr. 1.500.000. Hver var fjármagnstekjuskattsstofn Sigurlínu af þessum viðskiptum á árinu 2019?</t>
  </si>
  <si>
    <t>Hvenær er eindagi vegna skila á afdregnum fjármagnstekjuskatti af arðgreiðslu sem greidd var þann 15. júní 2019?</t>
  </si>
  <si>
    <r>
      <t>Samkvæmt sjóðstreymi Verslunar ehf. nam handbært fé í upphafi ársins 2019 kr. 8.000.000. Ha</t>
    </r>
    <r>
      <rPr>
        <sz val="11"/>
        <rFont val="Calibri"/>
        <family val="2"/>
        <scheme val="minor"/>
      </rPr>
      <t>ndbært fé frá rekstri nam kr. 12.000.000 á árinu. Félagið keypti fastafjármuni á árinu fyrir kr. 17.200.000. Auk þess voru tekin ný langtímalán að fjárhæð kr. 10.000.000, afborganir langtímalána námu kr. 2.350.000 og greiddur arður nam kr. 5.000.000. Hvert var handbært fé í lok árs 2018?</t>
    </r>
  </si>
  <si>
    <t>Útgerð ehf. er með eitt óverðtryggt langtímalán. Í lok árs 2019 var staða þess kr. 137.200.000. Vextir lánsins eru 6,25% á ársgrundvelli. Vaxtaregla er 30/360. Síðast var greitt af láninu þann 1. nóvember 2019.  Hverjir eru áfallnir vextir í lok árs 2018?</t>
  </si>
  <si>
    <t>Meðfylgjandi er rekstrarreikningur fyrir Þjónustuveituna ehf. fyrir árið 2019.</t>
  </si>
  <si>
    <t xml:space="preserve">Verkefni þitt er að leiða út tekjuskattsstofn félagsins fyrir árið 2019 og reikna út tekjuskatt til greiðslu á árinu 2020. Miðað er við að tekjuskattur sé lágmarkaður.  Gerið ráð fyrir því að félagið hafi einnig beitt öllum ráðum til að lágmarka skattstofn sinn á fyrra ári. Þjónustuveitan  ehf. greiddi og gjaldfærði á árinu 2019 útvarpsgjald að fjárhæð kr. 16.800 sem fært er meðal skrifstofu- og stjórnunarkostnaðar. </t>
  </si>
  <si>
    <t>Rekstrarreikningur 2019</t>
  </si>
  <si>
    <t>01.01. - 31.12.</t>
  </si>
  <si>
    <t xml:space="preserve">Viðskiptakröfur námu kr. 125.000.000 þann 1.1.2019 og kr. 134.000.000 í lok ársins. Þá hefur verið tekið tillit til reikningslegrar varúðarniðurfærslu að fjárhæð kr. 10.500.000 í upphafi ársins og kr. 8.500.000 í lok  ársins. </t>
  </si>
  <si>
    <t xml:space="preserve">Frestað gengistap frá fyrri árum nemur samtals kr. 1.200.000 og var allur tilkominn á árinu 2017. </t>
  </si>
  <si>
    <t>Skattalegar fyrningar fastafjármuna nema kr. 27.500.000.  Bókfært tap af sölu eigna nam kr. 12.000.000 og er tilkomið vegna sölu á tækjaeiningu, söluverð nam kr. 20.000.000. Tækjaeiningin var keypt á kr. 100.000.000 í upphafi árs 2016 og hefur verið afskrifað skattalega um 30% á ári frá þeim tíma. Skattalegt bókfært verð eignarinnar nam þannig kr. 10.000.000 þann 1.1.2019.</t>
  </si>
  <si>
    <t xml:space="preserve">Matsverð vörubirgða félagsins nam kr. 65.000.000 í lok árs 2016 og kr. 78.000.000 í lok árs 2019. </t>
  </si>
  <si>
    <t xml:space="preserve">Hver er tekjuskattur til greiðslu hjá félaginu á árinu 2020, miðað við 20% tekjuskatt? </t>
  </si>
  <si>
    <r>
      <t xml:space="preserve">Heildsalan ehf. er að undirbúa skil á síðustu virðisaukaskattskýrslu vegna nóvember og desember 2019. Fyrir liggur að skýrslur vegna janúar til og með október eru í samræmi við bókhaldið og því ekki þörf á að skila inn leiðréttingarskýrslu. Verkefni þitt er að finna út hvernig skýrslan vegna nóvember og desember 2019 eigi að vera og fylla það inn í skyggðu reitina.  Meðfylgjandi eru upplýsingar þér til aðstoðar.
</t>
    </r>
    <r>
      <rPr>
        <sz val="11"/>
        <rFont val="Calibri"/>
        <family val="2"/>
        <scheme val="minor"/>
      </rPr>
      <t xml:space="preserve">Á bókhalslykil 7343 Innréttingar og búnaður viðbætur ársins, hefur verið fært kaupverð á nýjum skrifborðum á skrifstofu, verið var að endurnýja fyrir starfsmenn. Kaupverð skrifborðanna nam kr. 2.500.000 án virðisaukaskatts. </t>
    </r>
    <r>
      <rPr>
        <sz val="11"/>
        <color rgb="FFFF0000"/>
        <rFont val="Calibri"/>
        <family val="2"/>
        <scheme val="minor"/>
      </rPr>
      <t xml:space="preserve">
</t>
    </r>
    <r>
      <rPr>
        <sz val="11"/>
        <rFont val="Calibri"/>
        <family val="2"/>
        <scheme val="minor"/>
      </rPr>
      <t xml:space="preserve">Fyrir liggur að innskattur greiddur í tolli við innflutning á vörum nam kr. 2.088.000 á tímabilinu.  </t>
    </r>
  </si>
  <si>
    <t>Virðisaukaskattsskýrslur 2019</t>
  </si>
  <si>
    <t>Hér að neðan eru upplýsingar um launakjör Sólveigar Sveinsdóttur starfsmanns Innflutnings ehf. vegna nóvember 2019. Sólveig  greiðir lögbundið iðgjald í lífeyrissjóð ásamt 4% viðbótarframlagi. Launagreiðandi greiðir lögbundið mótframlag vegna lífeyrisgreiðslna.  Sólveig greiðir ekki í stéttarfélag.  
Dagpeningagreiðsla í  nóvember er tilkomin vegna vinnuferðar Sólveigar út á land og voru þeir í samræmi við reglur RSK.  Innflutningur ehf. lætur starfsmönnun sínum í té fæði endurgjaldslaus og er það metið starfsmanninum til tekna samkvæmt skattmati Rsk.  Sólveig hefur í nóvember verið í hádegismat í 14 skipti.</t>
  </si>
  <si>
    <t>36,94% af tekjum 0 - 927.087 kr.</t>
  </si>
  <si>
    <t>46,24% af tekjum yfir 927.087 kr.</t>
  </si>
  <si>
    <t>Rekstarreikningar.</t>
  </si>
  <si>
    <t>31.12.</t>
  </si>
  <si>
    <t>jan-des.</t>
  </si>
  <si>
    <t>Aðalbókari Verslunar ehf. er að ganga frá bókhaldi félagsins fyrir uppgjör í lok september 2019.  Í tengslum við þá vinnu telur hann mikilvægt að sannreyna að bankareikningar félagsins séu réttir í bókhaldi félagsins.  Við yfirferð kom eftirfarandi í ljós:</t>
  </si>
  <si>
    <t xml:space="preserve">Svo virðist sem greiðsla að fjárhæð kr. 155.790 sem greidd var 15.9.2019 til lánadrottins Vörusalan ehf. hafi verið tvífærð í bókhaldi. </t>
  </si>
  <si>
    <t xml:space="preserve">Þann 15. júlí 2019 voru greiddar kr. 162.223 til vörustjóra félagsins vegna útlagðs kostnaðar, en sú færsla hefur ekki verið færð í bókhald félagsins. </t>
  </si>
  <si>
    <t>Þann 4. apríl 2019 hefur viðskiptavinurinn, Jón Jónsson, lagt inn kr. 355.000 vegna reiknings nr. S-195845 fyrir vinnu sem unnin var fyrir hann í febrúar. Þessi færsla hefur ekki verið færð í bókhald félagsins.</t>
  </si>
  <si>
    <t>Í flipa "V8 hreyfingar" hér næst til hliðar eru hreyfingar úr fjárhagsbókhaldi Smásölunnar ehf.  í janúar 2019. Hreyfingarnar eru í dagsetningaröð.</t>
  </si>
  <si>
    <t>Þetta blað inniheldur bókhaldshreyfingar fyrir janúar 2019</t>
  </si>
  <si>
    <t xml:space="preserve">Raðið eftir dagsetningarröð þannig að 1. jan. er fremstur og 31. jan. er síðastur. </t>
  </si>
  <si>
    <t>Verkefni þitt er að stilla upp rekstrar- og efnahagsreikningi fyrir Vörusöluna ehf. fyrir árið 2019.</t>
  </si>
  <si>
    <t>Vísitala í janúar 2019</t>
  </si>
  <si>
    <t>Verkefni þitt er að reikna stöðu lánanna og áfallinna vaxta í lok árs 2019 og færa viðeigandi færslur í bókhald félagsins.</t>
  </si>
  <si>
    <t>Einnig að reikna út afborganir sem koma til greiðslu á árinu 2020 (næsta árs afborganir) og færa viðeigandi færslu.</t>
  </si>
  <si>
    <t xml:space="preserve">Staða á viðskiptareikningi eiganda, bókhaldslykill nr. 2250 er tilkomin vegna þess að eigandi lánaði félaginu fyrir kaupum á innréttingum og búnaði þann 1.1.2019. Bókarinn færði kaupin á bókhaldslykil nr. 1100 skammtímakröfur og fyrirframgreiðslur.
Færið viðeigandi leiðréttingafærslu í bókhaldið ef ástæða er til. </t>
  </si>
  <si>
    <t xml:space="preserve">Fasteign félagsins var keypt þann 1.1.2012 og upphaflegt kaupverð var kr. 260.000.000, áætlað hrakvirði eignarinnar er kr. 30.000.000.  Nýtingatími er áætlaður 50 ár. 
Innréttingar og búnaður voru keypt þann 1.1.2019. Áætlað hrakvirði er 10% af kaupverði, áætlaður nýtingartími er 10 ár.  
Eignirnar eru afskrifaðar línulega af fyrningastofni miðað við áætlaðan líftíma í bókhaldi. 
  </t>
  </si>
  <si>
    <t xml:space="preserve">Engar afskriftir hafa verið færðar í bókhald félagsins fyrir árið 2019. Verkefni þitt er að reikna afskriftir eignanna fyrir árið 2017 og gera viðeigandi leiðréttingar í bókhald félagsins. </t>
  </si>
  <si>
    <t xml:space="preserve">Ekki er búið að færa neitt í bækur félagsins vegna ofangreinds. Varúðarniðurfærsla sem stendur á bókhaldslykli 1210 er mat stjórnenda á varúð sem framkvæmd var við gerð ársreiknings félagsins fyrir árið 2018.  
Verkefni þitt er að reikna viðeigandi varúðarniðurfærslu miðað við ofangreindar upplýsingar fyrir stöðuna í lok árs 2019 og færa viðeigandi færslur og leiðréttingar í bækur félagsins þannig að varúðarniðurfærslan endurspegli mat stjórnenda í lok árs 2019. 
Ekki þarf að huga að virðisaukaskatti við þessa útreikninga. </t>
  </si>
  <si>
    <t>Vörusalan ehf.  Prófjöfnuður (aðalbók) pr. 31.12.2019</t>
  </si>
  <si>
    <t>2019</t>
  </si>
  <si>
    <t>Rekstrarreikningur ársins 2019</t>
  </si>
  <si>
    <t>Meðfylgjandi eru rekstrarreikningar og efnahagsreikningar Þjónustunnar ehf., vegna áranna 2017, 2018 og 2019.  Ekki þarf að huga að virðisaukaskatti við lausn verkefnisins.  Verkefni þitt er að reikna eftirfarandi kennitölur:</t>
  </si>
  <si>
    <t>Ávöxtun/Arðsemi eigin fjár</t>
  </si>
  <si>
    <t>Tryggingagjald nemur 6,60% í nóvember 2019.</t>
  </si>
  <si>
    <t xml:space="preserve">Persónuafsláttur einstaklings nemur kr. 56.447 á mánuði.  </t>
  </si>
  <si>
    <t>Ártöl í spurningum getur verið mismunandi, yfirleitt er miðað við 2019 og uppgjör á því ári.</t>
  </si>
  <si>
    <t xml:space="preserve">kr. Staða tékkareiknings. </t>
  </si>
  <si>
    <t xml:space="preserve"> -  Morgunverður 348 kr. </t>
  </si>
  <si>
    <t xml:space="preserve"> - Hádegisverður eða kvöldverður 521 kr. </t>
  </si>
  <si>
    <t xml:space="preserve"> - Fullt fæði á dag 1.390 kr. </t>
  </si>
  <si>
    <t>Pláss fyrir útreikninga</t>
  </si>
  <si>
    <t>Lausn:     Allir útreiknngar skulu koma hér fram…...............</t>
  </si>
  <si>
    <t>LAUSN  OG ÚTREIKNINGAR</t>
  </si>
  <si>
    <t>hREYFINGAR NÓVEMBER OG DESEMBER</t>
  </si>
  <si>
    <t>Staðgreiðslustofn: --- útreikningar..</t>
  </si>
  <si>
    <t>Útreikningar</t>
  </si>
  <si>
    <t>heiti</t>
  </si>
  <si>
    <t>Raðið hreyfingunum eftir númeri bókhaldslykils. Lægsta númer fyrst.</t>
  </si>
  <si>
    <t>Efnahagsreikningur 31. desember 2019</t>
  </si>
  <si>
    <t>31.12.2019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</si>
</sst>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6">
    <numFmt numFmtId="43" formatCode="_-* #,##0.00_-;\-* #,##0.00_-;_-* &quot;-&quot;??_-;_-@_-"/>
    <numFmt numFmtId="164" formatCode="_-* #,##0\ _k_r_._-;\-* #,##0\ _k_r_._-;_-* &quot;-&quot;\ _k_r_._-;_-@_-"/>
    <numFmt numFmtId="165" formatCode="\ \ \ @*."/>
    <numFmt numFmtId="166" formatCode="#.##0&quot;KL&quot;\ ;\(#.##0&quot;KL&quot;\)"/>
    <numFmt numFmtId="167" formatCode="@\ *."/>
    <numFmt numFmtId="168" formatCode="0.0%"/>
    <numFmt numFmtId="169" formatCode="#,##0\ ;\ \(#,##0\)"/>
    <numFmt numFmtId="170" formatCode="#,##0\ ;[Red]\(#,##0\)"/>
    <numFmt numFmtId="171" formatCode="0#\ \-\ 0#"/>
    <numFmt numFmtId="172" formatCode="[$-F800]dddd\,\ mmmm\ dd\,\ yyyy"/>
    <numFmt numFmtId="173" formatCode="\(#,##0\);#,##0_)"/>
    <numFmt numFmtId="174" formatCode="#,##0,_);\(#,##0,\)"/>
    <numFmt numFmtId="175" formatCode="\(#,##0,\);#,##0,_)"/>
    <numFmt numFmtId="176" formatCode="\(#,##0.00\);#,##0.00_)"/>
    <numFmt numFmtId="177" formatCode="#,##0\ ;[Red]\(* #,##0\)"/>
    <numFmt numFmtId="178" formatCode="_-* #,##0.0\ _k_r_._-;\-* #,##0.0\ _k_r_._-;_-* &quot;-&quot;\ _k_r_._-;_-@_-"/>
    <numFmt numFmtId="179" formatCode="0.0"/>
    <numFmt numFmtId="180" formatCode="#,##0_ ;[Red]\-#,##0\ "/>
    <numFmt numFmtId="181" formatCode="#,##0.0_ ;[Red]\-#,##0.0\ "/>
    <numFmt numFmtId="182" formatCode="#,##0.0"/>
    <numFmt numFmtId="183" formatCode="dd\-mm\-yy"/>
    <numFmt numFmtId="184" formatCode="dd\-mm\-\å\å"/>
    <numFmt numFmtId="185" formatCode="#,##0\ ;\(#,##0\)"/>
    <numFmt numFmtId="186" formatCode="@*."/>
    <numFmt numFmtId="187" formatCode="#,##0.000"/>
    <numFmt numFmtId="188" formatCode="#,##0.0_ ;\-#,##0.0\ "/>
  </numFmts>
  <fonts count="76">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10"/>
      <name val="Arial"/>
      <family val="2"/>
    </font>
    <font>
      <b/>
      <sz val="10"/>
      <name val="Times New Roman"/>
      <family val="1"/>
    </font>
    <font>
      <sz val="10"/>
      <name val="Times New Roman"/>
      <family val="1"/>
    </font>
    <font>
      <i/>
      <sz val="10"/>
      <name val="Times New Roman"/>
      <family val="1"/>
    </font>
    <font>
      <i/>
      <sz val="8"/>
      <name val="Times New Roman"/>
      <family val="1"/>
    </font>
    <font>
      <sz val="9"/>
      <color rgb="FF474747"/>
      <name val="Helvetica"/>
      <family val="2"/>
    </font>
    <font>
      <sz val="9"/>
      <color rgb="FFFF0000"/>
      <name val="Helvetica"/>
      <family val="2"/>
    </font>
    <font>
      <b/>
      <sz val="11"/>
      <color theme="1"/>
      <name val="Georgia"/>
      <family val="1"/>
    </font>
    <font>
      <sz val="11"/>
      <color theme="1"/>
      <name val="Georgia"/>
      <family val="1"/>
    </font>
    <font>
      <i/>
      <sz val="11"/>
      <color theme="1"/>
      <name val="Georgia"/>
      <family val="1"/>
    </font>
    <font>
      <i/>
      <sz val="11"/>
      <color theme="1"/>
      <name val="Calibri"/>
      <family val="2"/>
      <scheme val="minor"/>
    </font>
    <font>
      <sz val="11"/>
      <name val="Calibri"/>
      <family val="2"/>
      <scheme val="minor"/>
    </font>
    <font>
      <sz val="10"/>
      <color theme="1"/>
      <name val="Times New Roman"/>
      <family val="1"/>
    </font>
    <font>
      <sz val="11"/>
      <color theme="1"/>
      <name val="Calibri Light"/>
      <family val="2"/>
      <scheme val="major"/>
    </font>
    <font>
      <sz val="10"/>
      <name val="Calibri"/>
      <family val="2"/>
      <scheme val="minor"/>
    </font>
    <font>
      <sz val="8"/>
      <name val="Times New Roman"/>
      <family val="1"/>
    </font>
    <font>
      <b/>
      <sz val="14"/>
      <name val="Arial"/>
      <family val="2"/>
    </font>
    <font>
      <sz val="9"/>
      <name val="Arial"/>
      <family val="2"/>
    </font>
    <font>
      <b/>
      <sz val="9"/>
      <name val="Arial"/>
      <family val="2"/>
    </font>
    <font>
      <b/>
      <sz val="10"/>
      <name val="Arial"/>
      <family val="2"/>
    </font>
    <font>
      <b/>
      <sz val="12"/>
      <name val="Arial"/>
      <family val="2"/>
    </font>
    <font>
      <sz val="12"/>
      <name val="Arial"/>
      <family val="2"/>
    </font>
    <font>
      <sz val="12"/>
      <color theme="1"/>
      <name val="Times New Roman"/>
      <family val="1"/>
    </font>
    <font>
      <b/>
      <sz val="10"/>
      <name val="Calibri"/>
      <family val="2"/>
      <scheme val="minor"/>
    </font>
    <font>
      <b/>
      <sz val="12"/>
      <name val="Calibri"/>
      <family val="2"/>
      <scheme val="minor"/>
    </font>
    <font>
      <sz val="12"/>
      <color theme="1"/>
      <name val="Calibri"/>
      <family val="2"/>
      <scheme val="minor"/>
    </font>
    <font>
      <sz val="12"/>
      <name val="Calibri"/>
      <family val="2"/>
      <scheme val="minor"/>
    </font>
    <font>
      <i/>
      <sz val="11"/>
      <color theme="5" tint="-0.249977111117893"/>
      <name val="Calibri"/>
      <family val="2"/>
      <scheme val="minor"/>
    </font>
    <font>
      <i/>
      <u/>
      <sz val="10"/>
      <color theme="5" tint="-0.249977111117893"/>
      <name val="Times New Roman"/>
      <family val="1"/>
    </font>
    <font>
      <i/>
      <sz val="10"/>
      <color theme="5" tint="-0.249977111117893"/>
      <name val="Times New Roman"/>
      <family val="1"/>
    </font>
    <font>
      <sz val="10"/>
      <color indexed="8"/>
      <name val="Arial"/>
      <family val="2"/>
    </font>
    <font>
      <sz val="11"/>
      <name val="Arial"/>
      <family val="2"/>
    </font>
    <font>
      <b/>
      <sz val="8"/>
      <name val="Arial"/>
      <family val="2"/>
    </font>
    <font>
      <sz val="10"/>
      <name val="Times rmn"/>
    </font>
    <font>
      <sz val="10"/>
      <name val="Tms Rmn"/>
    </font>
    <font>
      <i/>
      <u/>
      <sz val="11"/>
      <color theme="5"/>
      <name val="Georgia"/>
      <family val="1"/>
    </font>
    <font>
      <i/>
      <sz val="11"/>
      <color theme="5"/>
      <name val="Calibri"/>
      <family val="2"/>
      <scheme val="minor"/>
    </font>
    <font>
      <b/>
      <sz val="12"/>
      <color theme="1"/>
      <name val="Calibri"/>
      <family val="2"/>
      <scheme val="minor"/>
    </font>
    <font>
      <b/>
      <u/>
      <sz val="12"/>
      <color theme="1"/>
      <name val="Calibri"/>
      <family val="2"/>
      <scheme val="minor"/>
    </font>
    <font>
      <b/>
      <sz val="14"/>
      <color theme="1"/>
      <name val="Calibri"/>
      <family val="2"/>
      <scheme val="minor"/>
    </font>
    <font>
      <b/>
      <sz val="11"/>
      <color rgb="FFFF0000"/>
      <name val="Calibri"/>
      <family val="2"/>
      <scheme val="minor"/>
    </font>
    <font>
      <sz val="11"/>
      <color theme="5" tint="-0.249977111117893"/>
      <name val="Calibri"/>
      <family val="2"/>
      <scheme val="minor"/>
    </font>
    <font>
      <u/>
      <sz val="10"/>
      <color theme="5" tint="-0.249977111117893"/>
      <name val="Times New Roman"/>
      <family val="1"/>
    </font>
    <font>
      <sz val="10"/>
      <color theme="5" tint="-0.249977111117893"/>
      <name val="Times New Roman"/>
      <family val="1"/>
    </font>
    <font>
      <b/>
      <sz val="11"/>
      <color theme="5" tint="-0.249977111117893"/>
      <name val="Calibri"/>
      <family val="2"/>
      <scheme val="minor"/>
    </font>
    <font>
      <b/>
      <u/>
      <sz val="11"/>
      <color theme="1"/>
      <name val="Calibri"/>
      <family val="2"/>
      <scheme val="minor"/>
    </font>
    <font>
      <sz val="12"/>
      <color rgb="FF2F2F2F"/>
      <name val="Segoe UI"/>
      <family val="2"/>
    </font>
    <font>
      <b/>
      <i/>
      <sz val="10"/>
      <name val="Times New Roman"/>
      <family val="1"/>
    </font>
    <font>
      <b/>
      <i/>
      <sz val="12"/>
      <name val="Times New Roman"/>
      <family val="1"/>
    </font>
    <font>
      <sz val="9"/>
      <name val="Times New Roman"/>
      <family val="1"/>
    </font>
    <font>
      <b/>
      <i/>
      <sz val="9"/>
      <name val="Times New Roman"/>
      <family val="1"/>
    </font>
    <font>
      <sz val="9"/>
      <name val="Helv"/>
    </font>
    <font>
      <b/>
      <sz val="9"/>
      <name val="Times New Roman"/>
      <family val="1"/>
    </font>
    <font>
      <b/>
      <sz val="8"/>
      <name val="Times New Roman"/>
      <family val="1"/>
    </font>
    <font>
      <b/>
      <u/>
      <sz val="14"/>
      <color theme="1"/>
      <name val="Calibri"/>
      <family val="2"/>
      <scheme val="minor"/>
    </font>
    <font>
      <i/>
      <sz val="10"/>
      <color rgb="FFFF0000"/>
      <name val="Times New Roman"/>
      <family val="1"/>
    </font>
    <font>
      <b/>
      <sz val="12"/>
      <color theme="0"/>
      <name val="Calibri"/>
      <family val="2"/>
      <scheme val="minor"/>
    </font>
    <font>
      <sz val="12"/>
      <color theme="0"/>
      <name val="Calibri"/>
      <family val="2"/>
      <scheme val="minor"/>
    </font>
    <font>
      <b/>
      <i/>
      <sz val="12"/>
      <color theme="4" tint="-0.499984740745262"/>
      <name val="Calibri"/>
      <family val="2"/>
      <scheme val="minor"/>
    </font>
    <font>
      <u/>
      <sz val="11"/>
      <color theme="1"/>
      <name val="Calibri"/>
      <family val="2"/>
      <scheme val="minor"/>
    </font>
    <font>
      <sz val="8"/>
      <name val="Calibri"/>
      <family val="2"/>
      <scheme val="minor"/>
    </font>
    <font>
      <sz val="10"/>
      <color rgb="FFFF0000"/>
      <name val="Calibri"/>
      <family val="2"/>
      <scheme val="minor"/>
    </font>
    <font>
      <b/>
      <sz val="14"/>
      <color rgb="FFFF0000"/>
      <name val="Calibri"/>
      <family val="2"/>
      <scheme val="minor"/>
    </font>
    <font>
      <b/>
      <sz val="11"/>
      <name val="Calibri"/>
      <family val="2"/>
      <scheme val="minor"/>
    </font>
    <font>
      <b/>
      <sz val="16"/>
      <color theme="1"/>
      <name val="Calibri"/>
      <family val="2"/>
      <scheme val="minor"/>
    </font>
    <font>
      <sz val="16"/>
      <color theme="1"/>
      <name val="Calibri"/>
      <family val="2"/>
      <scheme val="minor"/>
    </font>
    <font>
      <b/>
      <sz val="18"/>
      <color theme="1"/>
      <name val="Calibri"/>
      <family val="2"/>
      <scheme val="minor"/>
    </font>
    <font>
      <sz val="18"/>
      <color theme="1"/>
      <name val="Calibri"/>
      <family val="2"/>
      <scheme val="minor"/>
    </font>
    <font>
      <sz val="14"/>
      <color theme="1"/>
      <name val="Calibri"/>
      <family val="2"/>
      <scheme val="minor"/>
    </font>
    <font>
      <b/>
      <sz val="28"/>
      <color rgb="FFFF0000"/>
      <name val="Arial"/>
      <family val="2"/>
    </font>
    <font>
      <b/>
      <sz val="18"/>
      <name val="Arial"/>
      <family val="2"/>
    </font>
    <font>
      <sz val="18"/>
      <name val="Arial"/>
      <family val="2"/>
    </font>
  </fonts>
  <fills count="17">
    <fill>
      <patternFill patternType="none"/>
    </fill>
    <fill>
      <patternFill patternType="gray125"/>
    </fill>
    <fill>
      <patternFill patternType="solid">
        <fgColor rgb="FFFFFF00"/>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rgb="FFFF0000"/>
        <bgColor indexed="64"/>
      </patternFill>
    </fill>
    <fill>
      <patternFill patternType="solid">
        <fgColor theme="5"/>
        <bgColor indexed="64"/>
      </patternFill>
    </fill>
    <fill>
      <patternFill patternType="solid">
        <fgColor theme="0"/>
        <bgColor indexed="64"/>
      </patternFill>
    </fill>
    <fill>
      <patternFill patternType="solid">
        <fgColor rgb="FFFF3300"/>
        <bgColor indexed="64"/>
      </patternFill>
    </fill>
    <fill>
      <patternFill patternType="solid">
        <fgColor indexed="41"/>
        <bgColor indexed="64"/>
      </patternFill>
    </fill>
    <fill>
      <patternFill patternType="solid">
        <fgColor theme="4" tint="-0.249977111117893"/>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9" tint="0.59999389629810485"/>
        <bgColor indexed="64"/>
      </patternFill>
    </fill>
    <fill>
      <patternFill patternType="solid">
        <fgColor theme="7" tint="0.59999389629810485"/>
        <bgColor indexed="64"/>
      </patternFill>
    </fill>
  </fills>
  <borders count="32">
    <border>
      <left/>
      <right/>
      <top/>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right/>
      <top style="thin">
        <color indexed="64"/>
      </top>
      <bottom style="double">
        <color indexed="64"/>
      </bottom>
      <diagonal/>
    </border>
    <border>
      <left/>
      <right/>
      <top/>
      <bottom style="medium">
        <color indexed="64"/>
      </bottom>
      <diagonal/>
    </border>
    <border>
      <left/>
      <right/>
      <top/>
      <bottom style="double">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medium">
        <color indexed="64"/>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s>
  <cellStyleXfs count="27">
    <xf numFmtId="0" fontId="0" fillId="0" borderId="0"/>
    <xf numFmtId="9" fontId="1" fillId="0" borderId="0" applyFont="0" applyFill="0" applyBorder="0" applyAlignment="0" applyProtection="0"/>
    <xf numFmtId="0" fontId="4" fillId="0" borderId="0"/>
    <xf numFmtId="0" fontId="4" fillId="0" borderId="0"/>
    <xf numFmtId="164" fontId="1" fillId="0" borderId="0" applyFont="0" applyFill="0" applyBorder="0" applyAlignment="0" applyProtection="0"/>
    <xf numFmtId="0" fontId="19" fillId="0" borderId="0"/>
    <xf numFmtId="0" fontId="4" fillId="0" borderId="0"/>
    <xf numFmtId="0" fontId="4" fillId="0" borderId="0"/>
    <xf numFmtId="0" fontId="6" fillId="0" borderId="0"/>
    <xf numFmtId="37" fontId="35" fillId="0" borderId="0" applyFont="0" applyFill="0" applyBorder="0" applyAlignment="0" applyProtection="0"/>
    <xf numFmtId="173" fontId="35" fillId="0" borderId="0" applyFont="0" applyFill="0" applyBorder="0" applyAlignment="0" applyProtection="0"/>
    <xf numFmtId="174" fontId="35" fillId="0" borderId="0" applyFont="0" applyFill="0" applyBorder="0" applyAlignment="0" applyProtection="0"/>
    <xf numFmtId="175" fontId="35" fillId="0" borderId="0" applyFont="0" applyFill="0" applyBorder="0" applyAlignment="0" applyProtection="0"/>
    <xf numFmtId="0" fontId="34" fillId="0" borderId="0" applyFill="0" applyBorder="0" applyAlignment="0"/>
    <xf numFmtId="0" fontId="36" fillId="0" borderId="10">
      <alignment horizontal="center"/>
    </xf>
    <xf numFmtId="39" fontId="35" fillId="0" borderId="0" applyFont="0" applyFill="0" applyBorder="0" applyAlignment="0" applyProtection="0"/>
    <xf numFmtId="176" fontId="35" fillId="0" borderId="0" applyFont="0" applyFill="0" applyBorder="0" applyAlignment="0" applyProtection="0"/>
    <xf numFmtId="0" fontId="24" fillId="0" borderId="11" applyNumberFormat="0" applyAlignment="0" applyProtection="0">
      <alignment horizontal="left" vertical="center"/>
    </xf>
    <xf numFmtId="0" fontId="24" fillId="0" borderId="1">
      <alignment horizontal="left" vertical="center"/>
    </xf>
    <xf numFmtId="49" fontId="23" fillId="0" borderId="0" applyFill="0" applyBorder="0" applyProtection="0">
      <alignment horizontal="center"/>
    </xf>
    <xf numFmtId="177" fontId="37" fillId="0" borderId="12"/>
    <xf numFmtId="37" fontId="23" fillId="0" borderId="4" applyFill="0" applyAlignment="0" applyProtection="0"/>
    <xf numFmtId="173" fontId="23" fillId="0" borderId="4" applyFill="0" applyAlignment="0" applyProtection="0"/>
    <xf numFmtId="174" fontId="23" fillId="0" borderId="4" applyFill="0" applyAlignment="0" applyProtection="0"/>
    <xf numFmtId="175" fontId="23" fillId="0" borderId="4" applyFill="0" applyAlignment="0" applyProtection="0"/>
    <xf numFmtId="38" fontId="38" fillId="0" borderId="0"/>
    <xf numFmtId="0" fontId="55" fillId="0" borderId="0"/>
  </cellStyleXfs>
  <cellXfs count="597">
    <xf numFmtId="0" fontId="0" fillId="0" borderId="0" xfId="0"/>
    <xf numFmtId="9" fontId="0" fillId="0" borderId="0" xfId="1" applyFont="1"/>
    <xf numFmtId="0" fontId="3" fillId="0" borderId="0" xfId="0" applyFont="1"/>
    <xf numFmtId="0" fontId="0" fillId="0" borderId="0" xfId="0" applyAlignment="1">
      <alignment vertical="top"/>
    </xf>
    <xf numFmtId="3" fontId="0" fillId="0" borderId="0" xfId="0" applyNumberFormat="1"/>
    <xf numFmtId="0" fontId="0" fillId="0" borderId="0" xfId="0" applyAlignment="1">
      <alignment horizontal="left" vertical="top" wrapText="1"/>
    </xf>
    <xf numFmtId="3" fontId="0" fillId="0" borderId="0" xfId="0" applyNumberFormat="1" applyAlignment="1">
      <alignment horizontal="left" vertical="top" wrapText="1"/>
    </xf>
    <xf numFmtId="38" fontId="5" fillId="0" borderId="0" xfId="2" applyNumberFormat="1" applyFont="1" applyBorder="1"/>
    <xf numFmtId="38" fontId="6" fillId="0" borderId="0" xfId="2" applyNumberFormat="1" applyFont="1" applyBorder="1"/>
    <xf numFmtId="0" fontId="0" fillId="0" borderId="0" xfId="0" applyBorder="1"/>
    <xf numFmtId="38" fontId="7" fillId="0" borderId="0" xfId="2" applyNumberFormat="1" applyFont="1" applyBorder="1"/>
    <xf numFmtId="165" fontId="6" fillId="0" borderId="0" xfId="2" applyNumberFormat="1" applyFont="1" applyBorder="1"/>
    <xf numFmtId="38" fontId="8" fillId="0" borderId="0" xfId="2" applyNumberFormat="1" applyFont="1" applyBorder="1" applyAlignment="1">
      <alignment horizontal="right"/>
    </xf>
    <xf numFmtId="38" fontId="5" fillId="0" borderId="0" xfId="2" applyNumberFormat="1" applyFont="1" applyBorder="1" applyAlignment="1">
      <alignment horizontal="right"/>
    </xf>
    <xf numFmtId="1" fontId="0" fillId="0" borderId="0" xfId="0" applyNumberFormat="1"/>
    <xf numFmtId="0" fontId="0" fillId="0" borderId="3" xfId="0" applyBorder="1"/>
    <xf numFmtId="0" fontId="9" fillId="0" borderId="0" xfId="0" applyFont="1" applyAlignment="1">
      <alignment horizontal="left" vertical="center" indent="1"/>
    </xf>
    <xf numFmtId="0" fontId="9" fillId="0" borderId="0" xfId="0" applyFont="1"/>
    <xf numFmtId="0" fontId="2" fillId="0" borderId="0" xfId="0" applyFont="1" applyBorder="1"/>
    <xf numFmtId="3" fontId="0" fillId="0" borderId="4" xfId="0" applyNumberFormat="1" applyBorder="1"/>
    <xf numFmtId="14" fontId="0" fillId="0" borderId="0" xfId="0" applyNumberFormat="1"/>
    <xf numFmtId="16" fontId="0" fillId="0" borderId="0" xfId="0" applyNumberFormat="1"/>
    <xf numFmtId="3" fontId="0" fillId="0" borderId="0" xfId="0" applyNumberFormat="1" applyFill="1"/>
    <xf numFmtId="0" fontId="0" fillId="0" borderId="0" xfId="0" applyAlignment="1">
      <alignment horizontal="left"/>
    </xf>
    <xf numFmtId="0" fontId="0" fillId="0" borderId="0" xfId="0" applyAlignment="1">
      <alignment horizontal="left" indent="1"/>
    </xf>
    <xf numFmtId="0" fontId="11" fillId="0" borderId="0" xfId="0" applyFont="1"/>
    <xf numFmtId="0" fontId="12" fillId="0" borderId="0" xfId="0" applyFont="1"/>
    <xf numFmtId="3" fontId="12" fillId="0" borderId="0" xfId="0" applyNumberFormat="1" applyFont="1" applyAlignment="1">
      <alignment wrapText="1"/>
    </xf>
    <xf numFmtId="3" fontId="0" fillId="0" borderId="0" xfId="0" applyNumberFormat="1" applyFont="1"/>
    <xf numFmtId="0" fontId="0" fillId="0" borderId="0" xfId="0" applyFont="1"/>
    <xf numFmtId="0" fontId="0" fillId="0" borderId="0" xfId="0" applyFont="1" applyFill="1"/>
    <xf numFmtId="3" fontId="0" fillId="0" borderId="0" xfId="0" applyNumberFormat="1" applyFont="1" applyFill="1"/>
    <xf numFmtId="0" fontId="12" fillId="0" borderId="3" xfId="0" applyFont="1" applyBorder="1"/>
    <xf numFmtId="3" fontId="0" fillId="0" borderId="3" xfId="0" applyNumberFormat="1" applyFont="1" applyBorder="1"/>
    <xf numFmtId="0" fontId="0" fillId="0" borderId="3" xfId="0" applyFont="1" applyBorder="1"/>
    <xf numFmtId="0" fontId="13" fillId="0" borderId="0" xfId="0" applyFont="1"/>
    <xf numFmtId="3" fontId="14" fillId="0" borderId="0" xfId="0" applyNumberFormat="1" applyFont="1"/>
    <xf numFmtId="3" fontId="0" fillId="0" borderId="0" xfId="0" applyNumberFormat="1" applyBorder="1"/>
    <xf numFmtId="0" fontId="0" fillId="0" borderId="0" xfId="0" applyFill="1"/>
    <xf numFmtId="3" fontId="0" fillId="0" borderId="3" xfId="0" applyNumberFormat="1" applyBorder="1"/>
    <xf numFmtId="9" fontId="0" fillId="0" borderId="0" xfId="0" applyNumberFormat="1"/>
    <xf numFmtId="0" fontId="12" fillId="0" borderId="2" xfId="0" applyFont="1" applyBorder="1"/>
    <xf numFmtId="0" fontId="0" fillId="0" borderId="2" xfId="0" applyBorder="1"/>
    <xf numFmtId="0" fontId="16" fillId="0" borderId="0" xfId="0" applyFont="1"/>
    <xf numFmtId="0" fontId="12" fillId="0" borderId="0" xfId="0" applyFont="1" applyFill="1" applyBorder="1"/>
    <xf numFmtId="3" fontId="0" fillId="0" borderId="0" xfId="0" applyNumberFormat="1" applyFont="1" applyFill="1" applyBorder="1"/>
    <xf numFmtId="0" fontId="0" fillId="0" borderId="0" xfId="0" applyFont="1" applyFill="1" applyBorder="1"/>
    <xf numFmtId="0" fontId="0" fillId="0" borderId="0" xfId="0" applyFill="1" applyBorder="1"/>
    <xf numFmtId="0" fontId="0" fillId="0" borderId="0" xfId="0" applyAlignment="1">
      <alignment horizontal="left" vertical="top" wrapText="1"/>
    </xf>
    <xf numFmtId="3" fontId="3" fillId="0" borderId="0" xfId="0" applyNumberFormat="1" applyFont="1"/>
    <xf numFmtId="0" fontId="3" fillId="0" borderId="2" xfId="0" applyFont="1" applyBorder="1"/>
    <xf numFmtId="0" fontId="0" fillId="4" borderId="0" xfId="0" applyFill="1"/>
    <xf numFmtId="0" fontId="3" fillId="0" borderId="2" xfId="0" applyFont="1" applyFill="1" applyBorder="1"/>
    <xf numFmtId="3" fontId="0" fillId="0" borderId="0" xfId="0" applyNumberFormat="1" applyFont="1" applyAlignment="1">
      <alignment vertical="top"/>
    </xf>
    <xf numFmtId="0" fontId="20" fillId="0" borderId="0" xfId="0" applyFont="1"/>
    <xf numFmtId="0" fontId="21" fillId="0" borderId="0" xfId="0" applyFont="1" applyFill="1" applyAlignment="1">
      <alignment horizontal="center"/>
    </xf>
    <xf numFmtId="0" fontId="21" fillId="0" borderId="0" xfId="0" applyFont="1" applyFill="1"/>
    <xf numFmtId="0" fontId="21" fillId="0" borderId="0" xfId="0" applyFont="1"/>
    <xf numFmtId="0" fontId="22" fillId="0" borderId="0" xfId="0" applyFont="1" applyFill="1" applyAlignment="1">
      <alignment horizontal="center"/>
    </xf>
    <xf numFmtId="49" fontId="22" fillId="0" borderId="0" xfId="0" applyNumberFormat="1" applyFont="1" applyFill="1" applyAlignment="1">
      <alignment horizontal="right"/>
    </xf>
    <xf numFmtId="0" fontId="23" fillId="0" borderId="0" xfId="0" applyFont="1"/>
    <xf numFmtId="167" fontId="21" fillId="0" borderId="0" xfId="0" applyNumberFormat="1" applyFont="1"/>
    <xf numFmtId="169" fontId="21" fillId="0" borderId="0" xfId="0" applyNumberFormat="1" applyFont="1"/>
    <xf numFmtId="0" fontId="21" fillId="0" borderId="0" xfId="0" quotePrefix="1" applyFont="1" applyFill="1" applyAlignment="1">
      <alignment horizontal="center"/>
    </xf>
    <xf numFmtId="169" fontId="21" fillId="0" borderId="0" xfId="0" applyNumberFormat="1" applyFont="1" applyFill="1"/>
    <xf numFmtId="169" fontId="21" fillId="0" borderId="6" xfId="0" applyNumberFormat="1" applyFont="1" applyFill="1" applyBorder="1"/>
    <xf numFmtId="0" fontId="24" fillId="0" borderId="0" xfId="0" applyFont="1"/>
    <xf numFmtId="49" fontId="22" fillId="0" borderId="0" xfId="0" applyNumberFormat="1" applyFont="1" applyAlignment="1">
      <alignment horizontal="right"/>
    </xf>
    <xf numFmtId="0" fontId="22" fillId="0" borderId="0" xfId="0" applyFont="1"/>
    <xf numFmtId="169" fontId="22" fillId="0" borderId="0" xfId="0" applyNumberFormat="1" applyFont="1" applyAlignment="1">
      <alignment horizontal="center"/>
    </xf>
    <xf numFmtId="49" fontId="21" fillId="0" borderId="0" xfId="0" applyNumberFormat="1" applyFont="1"/>
    <xf numFmtId="169" fontId="21" fillId="0" borderId="0" xfId="0" applyNumberFormat="1" applyFont="1" applyBorder="1"/>
    <xf numFmtId="169" fontId="21" fillId="0" borderId="3" xfId="0" applyNumberFormat="1" applyFont="1" applyBorder="1"/>
    <xf numFmtId="169" fontId="21" fillId="0" borderId="6" xfId="0" applyNumberFormat="1" applyFont="1" applyBorder="1"/>
    <xf numFmtId="0" fontId="4" fillId="0" borderId="0" xfId="6"/>
    <xf numFmtId="9" fontId="4" fillId="0" borderId="0" xfId="1" applyFont="1"/>
    <xf numFmtId="164" fontId="4" fillId="0" borderId="0" xfId="4" applyFont="1"/>
    <xf numFmtId="3" fontId="4" fillId="0" borderId="0" xfId="2" applyNumberFormat="1"/>
    <xf numFmtId="3" fontId="4" fillId="0" borderId="0" xfId="2" applyNumberFormat="1" applyAlignment="1">
      <alignment horizontal="right"/>
    </xf>
    <xf numFmtId="3" fontId="4" fillId="5" borderId="0" xfId="2" applyNumberFormat="1" applyFill="1"/>
    <xf numFmtId="3" fontId="4" fillId="4" borderId="0" xfId="2" applyNumberFormat="1" applyFill="1"/>
    <xf numFmtId="0" fontId="0" fillId="0" borderId="7" xfId="0" applyBorder="1"/>
    <xf numFmtId="0" fontId="0" fillId="0" borderId="1" xfId="0" applyBorder="1"/>
    <xf numFmtId="0" fontId="0" fillId="0" borderId="8" xfId="0" applyBorder="1"/>
    <xf numFmtId="0" fontId="6" fillId="0" borderId="0" xfId="7" applyFont="1"/>
    <xf numFmtId="3" fontId="26" fillId="0" borderId="0" xfId="0" applyNumberFormat="1" applyFont="1"/>
    <xf numFmtId="0" fontId="6" fillId="0" borderId="0" xfId="7" applyFont="1" applyAlignment="1">
      <alignment horizontal="center"/>
    </xf>
    <xf numFmtId="170" fontId="6" fillId="0" borderId="0" xfId="7" applyNumberFormat="1" applyFont="1"/>
    <xf numFmtId="170" fontId="6" fillId="0" borderId="0" xfId="7" applyNumberFormat="1" applyFont="1" applyFill="1"/>
    <xf numFmtId="0" fontId="5" fillId="0" borderId="0" xfId="7" applyFont="1" applyBorder="1" applyAlignment="1">
      <alignment horizontal="right"/>
    </xf>
    <xf numFmtId="0" fontId="18" fillId="0" borderId="0" xfId="7" applyFont="1"/>
    <xf numFmtId="171" fontId="27" fillId="0" borderId="0" xfId="7" applyNumberFormat="1" applyFont="1" applyBorder="1"/>
    <xf numFmtId="0" fontId="27" fillId="0" borderId="0" xfId="7" applyFont="1" applyBorder="1" applyAlignment="1">
      <alignment horizontal="right"/>
    </xf>
    <xf numFmtId="171" fontId="27" fillId="0" borderId="2" xfId="7" applyNumberFormat="1" applyFont="1" applyBorder="1"/>
    <xf numFmtId="0" fontId="27" fillId="0" borderId="2" xfId="7" applyFont="1" applyBorder="1" applyAlignment="1">
      <alignment horizontal="right"/>
    </xf>
    <xf numFmtId="0" fontId="27" fillId="0" borderId="0" xfId="7" applyFont="1"/>
    <xf numFmtId="170" fontId="18" fillId="0" borderId="0" xfId="7" applyNumberFormat="1" applyFont="1"/>
    <xf numFmtId="170" fontId="18" fillId="0" borderId="9" xfId="7" applyNumberFormat="1" applyFont="1" applyBorder="1"/>
    <xf numFmtId="170" fontId="6" fillId="4" borderId="0" xfId="7" applyNumberFormat="1" applyFont="1" applyFill="1"/>
    <xf numFmtId="0" fontId="28" fillId="0" borderId="0" xfId="7" applyFont="1"/>
    <xf numFmtId="0" fontId="1" fillId="0" borderId="0" xfId="0" applyFont="1"/>
    <xf numFmtId="170" fontId="18" fillId="3" borderId="0" xfId="7" applyNumberFormat="1" applyFont="1" applyFill="1"/>
    <xf numFmtId="0" fontId="6" fillId="0" borderId="0" xfId="7" applyFont="1" applyFill="1"/>
    <xf numFmtId="3" fontId="26" fillId="0" borderId="0" xfId="0" applyNumberFormat="1" applyFont="1" applyFill="1"/>
    <xf numFmtId="0" fontId="15" fillId="0" borderId="0" xfId="0" applyFont="1" applyFill="1"/>
    <xf numFmtId="2" fontId="6" fillId="0" borderId="0" xfId="7" applyNumberFormat="1" applyFont="1" applyFill="1" applyAlignment="1">
      <alignment horizontal="center"/>
    </xf>
    <xf numFmtId="0" fontId="6" fillId="4" borderId="0" xfId="7" applyFont="1" applyFill="1" applyAlignment="1">
      <alignment horizontal="right"/>
    </xf>
    <xf numFmtId="9" fontId="0" fillId="4" borderId="0" xfId="1" applyFont="1" applyFill="1"/>
    <xf numFmtId="9" fontId="0" fillId="0" borderId="0" xfId="1" applyFont="1" applyFill="1"/>
    <xf numFmtId="169" fontId="6" fillId="0" borderId="0" xfId="7" applyNumberFormat="1" applyFont="1"/>
    <xf numFmtId="169" fontId="6" fillId="0" borderId="0" xfId="7" applyNumberFormat="1" applyFont="1" applyAlignment="1">
      <alignment horizontal="right"/>
    </xf>
    <xf numFmtId="169" fontId="6" fillId="0" borderId="0" xfId="7" applyNumberFormat="1" applyFont="1" applyFill="1"/>
    <xf numFmtId="169" fontId="6" fillId="0" borderId="3" xfId="7" applyNumberFormat="1" applyFont="1" applyBorder="1"/>
    <xf numFmtId="0" fontId="6" fillId="0" borderId="0" xfId="7" applyNumberFormat="1" applyFont="1" applyAlignment="1">
      <alignment horizontal="center"/>
    </xf>
    <xf numFmtId="9" fontId="0" fillId="0" borderId="0" xfId="1" applyFont="1" applyAlignment="1">
      <alignment horizontal="right"/>
    </xf>
    <xf numFmtId="9" fontId="0" fillId="4" borderId="0" xfId="1" applyFont="1" applyFill="1" applyAlignment="1">
      <alignment horizontal="right"/>
    </xf>
    <xf numFmtId="9" fontId="0" fillId="0" borderId="0" xfId="1" applyFont="1" applyFill="1" applyAlignment="1">
      <alignment horizontal="right"/>
    </xf>
    <xf numFmtId="0" fontId="14" fillId="0" borderId="0" xfId="0" applyFont="1"/>
    <xf numFmtId="3" fontId="29" fillId="0" borderId="0" xfId="0" applyNumberFormat="1" applyFont="1"/>
    <xf numFmtId="0" fontId="30" fillId="0" borderId="3" xfId="6" applyFont="1" applyBorder="1"/>
    <xf numFmtId="1" fontId="30" fillId="0" borderId="0" xfId="6" applyNumberFormat="1" applyFont="1" applyBorder="1"/>
    <xf numFmtId="0" fontId="30" fillId="0" borderId="0" xfId="6" applyFont="1" applyBorder="1"/>
    <xf numFmtId="0" fontId="30" fillId="0" borderId="2" xfId="6" applyFont="1" applyBorder="1"/>
    <xf numFmtId="3" fontId="29" fillId="4" borderId="3" xfId="0" applyNumberFormat="1" applyFont="1" applyFill="1" applyBorder="1"/>
    <xf numFmtId="3" fontId="29" fillId="4" borderId="0" xfId="0" applyNumberFormat="1" applyFont="1" applyFill="1" applyBorder="1"/>
    <xf numFmtId="3" fontId="29" fillId="4" borderId="2" xfId="0" applyNumberFormat="1" applyFont="1" applyFill="1" applyBorder="1"/>
    <xf numFmtId="0" fontId="3" fillId="4" borderId="0" xfId="0" applyFont="1" applyFill="1"/>
    <xf numFmtId="3" fontId="0" fillId="4" borderId="0" xfId="0" applyNumberFormat="1" applyFont="1" applyFill="1"/>
    <xf numFmtId="3" fontId="0" fillId="0" borderId="9" xfId="0" applyNumberFormat="1" applyBorder="1"/>
    <xf numFmtId="3" fontId="0" fillId="0" borderId="5" xfId="0" applyNumberFormat="1" applyBorder="1"/>
    <xf numFmtId="3" fontId="0" fillId="4" borderId="0" xfId="0" applyNumberFormat="1" applyFill="1"/>
    <xf numFmtId="16" fontId="0" fillId="4" borderId="0" xfId="0" applyNumberFormat="1" applyFill="1"/>
    <xf numFmtId="0" fontId="0" fillId="0" borderId="0" xfId="0" applyFont="1" applyAlignment="1">
      <alignment vertical="top" wrapText="1"/>
    </xf>
    <xf numFmtId="15" fontId="0" fillId="4" borderId="0" xfId="0" applyNumberFormat="1" applyFill="1"/>
    <xf numFmtId="0" fontId="0" fillId="0" borderId="0" xfId="0" applyAlignment="1">
      <alignment horizontal="left" vertical="top" wrapText="1"/>
    </xf>
    <xf numFmtId="3" fontId="0" fillId="0" borderId="0" xfId="0" applyNumberFormat="1" applyFont="1" applyBorder="1"/>
    <xf numFmtId="0" fontId="0" fillId="0" borderId="0" xfId="0" applyFont="1" applyBorder="1"/>
    <xf numFmtId="166" fontId="6" fillId="0" borderId="0" xfId="5" applyNumberFormat="1" applyFont="1" applyFill="1" applyBorder="1" applyAlignment="1" applyProtection="1">
      <alignment horizontal="centerContinuous"/>
    </xf>
    <xf numFmtId="3" fontId="14" fillId="3" borderId="0" xfId="0" applyNumberFormat="1" applyFont="1" applyFill="1"/>
    <xf numFmtId="1" fontId="0" fillId="0" borderId="0" xfId="0" applyNumberFormat="1" applyAlignment="1">
      <alignment horizontal="right"/>
    </xf>
    <xf numFmtId="1" fontId="0" fillId="5" borderId="0" xfId="0" applyNumberFormat="1" applyFill="1"/>
    <xf numFmtId="178" fontId="4" fillId="5" borderId="0" xfId="4" applyNumberFormat="1" applyFont="1" applyFill="1"/>
    <xf numFmtId="179" fontId="0" fillId="0" borderId="0" xfId="0" applyNumberFormat="1"/>
    <xf numFmtId="3" fontId="0" fillId="5" borderId="0" xfId="0" applyNumberFormat="1" applyFill="1"/>
    <xf numFmtId="2" fontId="0" fillId="5" borderId="0" xfId="0" applyNumberFormat="1" applyFill="1"/>
    <xf numFmtId="0" fontId="6" fillId="0" borderId="0" xfId="2" applyFont="1" applyFill="1"/>
    <xf numFmtId="179" fontId="0" fillId="5" borderId="0" xfId="0" applyNumberFormat="1" applyFill="1"/>
    <xf numFmtId="4" fontId="0" fillId="5" borderId="0" xfId="0" applyNumberFormat="1" applyFill="1"/>
    <xf numFmtId="180" fontId="4" fillId="0" borderId="0" xfId="2" applyNumberFormat="1" applyFont="1" applyFill="1"/>
    <xf numFmtId="180" fontId="4" fillId="0" borderId="0" xfId="2" applyNumberFormat="1" applyFont="1" applyFill="1" applyAlignment="1">
      <alignment horizontal="right"/>
    </xf>
    <xf numFmtId="180" fontId="4" fillId="0" borderId="0" xfId="2" applyNumberFormat="1" applyFont="1"/>
    <xf numFmtId="0" fontId="0" fillId="4" borderId="0" xfId="0" applyFont="1" applyFill="1"/>
    <xf numFmtId="0" fontId="0" fillId="4" borderId="0" xfId="0" applyFont="1" applyFill="1" applyBorder="1"/>
    <xf numFmtId="0" fontId="40" fillId="0" borderId="0" xfId="0" applyFont="1"/>
    <xf numFmtId="181" fontId="4" fillId="0" borderId="0" xfId="2" applyNumberFormat="1" applyFont="1" applyFill="1"/>
    <xf numFmtId="0" fontId="3" fillId="6" borderId="0" xfId="0" applyFont="1" applyFill="1"/>
    <xf numFmtId="0" fontId="0" fillId="6" borderId="0" xfId="0" applyFill="1"/>
    <xf numFmtId="3" fontId="0" fillId="6" borderId="0" xfId="0" applyNumberFormat="1" applyFill="1"/>
    <xf numFmtId="0" fontId="0" fillId="6" borderId="0" xfId="0" applyFill="1" applyBorder="1"/>
    <xf numFmtId="0" fontId="0" fillId="6" borderId="0" xfId="0" applyFont="1" applyFill="1"/>
    <xf numFmtId="171" fontId="27" fillId="6" borderId="0" xfId="7" applyNumberFormat="1" applyFont="1" applyFill="1" applyBorder="1"/>
    <xf numFmtId="0" fontId="27" fillId="6" borderId="0" xfId="7" applyFont="1" applyFill="1" applyBorder="1" applyAlignment="1">
      <alignment horizontal="right"/>
    </xf>
    <xf numFmtId="3" fontId="41" fillId="6" borderId="0" xfId="0" applyNumberFormat="1" applyFont="1" applyFill="1"/>
    <xf numFmtId="0" fontId="13" fillId="6" borderId="0" xfId="0" applyFont="1" applyFill="1"/>
    <xf numFmtId="3" fontId="14" fillId="6" borderId="0" xfId="0" applyNumberFormat="1" applyFont="1" applyFill="1"/>
    <xf numFmtId="0" fontId="21" fillId="6" borderId="0" xfId="0" applyFont="1" applyFill="1"/>
    <xf numFmtId="0" fontId="42" fillId="0" borderId="0" xfId="0" applyFont="1"/>
    <xf numFmtId="0" fontId="43" fillId="0" borderId="0" xfId="0" applyFont="1"/>
    <xf numFmtId="49" fontId="0" fillId="0" borderId="0" xfId="0" applyNumberFormat="1" applyAlignment="1">
      <alignment horizontal="right"/>
    </xf>
    <xf numFmtId="0" fontId="0" fillId="4" borderId="0" xfId="0" applyFill="1" applyAlignment="1">
      <alignment horizontal="right"/>
    </xf>
    <xf numFmtId="0" fontId="0" fillId="5" borderId="0" xfId="0" applyNumberFormat="1" applyFill="1"/>
    <xf numFmtId="1" fontId="0" fillId="0" borderId="0" xfId="0" applyNumberFormat="1" applyFill="1"/>
    <xf numFmtId="172" fontId="0" fillId="0" borderId="0" xfId="0" applyNumberFormat="1" applyFont="1" applyAlignment="1">
      <alignment horizontal="left" vertical="top"/>
    </xf>
    <xf numFmtId="0" fontId="0" fillId="4" borderId="0" xfId="0" applyFill="1" applyAlignment="1">
      <alignment vertical="top"/>
    </xf>
    <xf numFmtId="16" fontId="0" fillId="4" borderId="0" xfId="0" applyNumberFormat="1" applyFill="1" applyAlignment="1">
      <alignment vertical="top"/>
    </xf>
    <xf numFmtId="0" fontId="44" fillId="0" borderId="0" xfId="0" applyFont="1" applyFill="1"/>
    <xf numFmtId="0" fontId="0" fillId="0" borderId="0" xfId="0" applyFill="1" applyAlignment="1">
      <alignment horizontal="left" vertical="top" wrapText="1"/>
    </xf>
    <xf numFmtId="2" fontId="0" fillId="0" borderId="0" xfId="0" applyNumberFormat="1" applyBorder="1"/>
    <xf numFmtId="0" fontId="49" fillId="0" borderId="0" xfId="0" applyFont="1"/>
    <xf numFmtId="14" fontId="0" fillId="0" borderId="0" xfId="0" applyNumberFormat="1" applyFill="1"/>
    <xf numFmtId="0" fontId="17" fillId="0" borderId="0" xfId="0" applyFont="1" applyBorder="1"/>
    <xf numFmtId="3" fontId="0" fillId="0" borderId="0" xfId="0" applyNumberFormat="1" applyFont="1" applyAlignment="1">
      <alignment vertical="top" wrapText="1"/>
    </xf>
    <xf numFmtId="9" fontId="0" fillId="0" borderId="0" xfId="1" applyFont="1" applyAlignment="1">
      <alignment vertical="top" wrapText="1"/>
    </xf>
    <xf numFmtId="3" fontId="0" fillId="0" borderId="0" xfId="0" applyNumberFormat="1" applyFont="1" applyBorder="1" applyAlignment="1">
      <alignment vertical="top" wrapText="1"/>
    </xf>
    <xf numFmtId="0" fontId="40" fillId="0" borderId="0" xfId="0" applyFont="1" applyFill="1"/>
    <xf numFmtId="0" fontId="0" fillId="0" borderId="0" xfId="0" applyFont="1" applyAlignment="1">
      <alignment vertical="top"/>
    </xf>
    <xf numFmtId="2" fontId="15" fillId="8" borderId="0" xfId="0" applyNumberFormat="1" applyFont="1" applyFill="1"/>
    <xf numFmtId="2" fontId="7" fillId="8" borderId="0" xfId="7" applyNumberFormat="1" applyFont="1" applyFill="1"/>
    <xf numFmtId="0" fontId="30" fillId="0" borderId="3" xfId="6" applyFont="1" applyFill="1" applyBorder="1"/>
    <xf numFmtId="3" fontId="29" fillId="0" borderId="3" xfId="0" applyNumberFormat="1" applyFont="1" applyFill="1" applyBorder="1"/>
    <xf numFmtId="1" fontId="30" fillId="0" borderId="0" xfId="6" applyNumberFormat="1" applyFont="1" applyFill="1" applyBorder="1"/>
    <xf numFmtId="0" fontId="30" fillId="0" borderId="0" xfId="6" applyFont="1" applyFill="1" applyBorder="1"/>
    <xf numFmtId="3" fontId="29" fillId="0" borderId="0" xfId="0" applyNumberFormat="1" applyFont="1" applyFill="1" applyBorder="1"/>
    <xf numFmtId="179" fontId="0" fillId="0" borderId="0" xfId="0" applyNumberFormat="1" applyFill="1"/>
    <xf numFmtId="3" fontId="29" fillId="0" borderId="0" xfId="0" applyNumberFormat="1" applyFont="1" applyFill="1"/>
    <xf numFmtId="0" fontId="0" fillId="0" borderId="0" xfId="0" applyFill="1" applyAlignment="1">
      <alignment vertical="top"/>
    </xf>
    <xf numFmtId="181" fontId="4" fillId="5" borderId="0" xfId="2" applyNumberFormat="1" applyFont="1" applyFill="1"/>
    <xf numFmtId="3" fontId="6" fillId="0" borderId="0" xfId="2" applyNumberFormat="1" applyFont="1" applyBorder="1"/>
    <xf numFmtId="3" fontId="6" fillId="0" borderId="3" xfId="2" applyNumberFormat="1" applyFont="1" applyBorder="1"/>
    <xf numFmtId="3" fontId="0" fillId="0" borderId="0" xfId="0" applyNumberFormat="1" applyFont="1" applyAlignment="1">
      <alignment vertical="top" wrapText="1"/>
    </xf>
    <xf numFmtId="10" fontId="0" fillId="4" borderId="0" xfId="1" applyNumberFormat="1" applyFont="1" applyFill="1"/>
    <xf numFmtId="172" fontId="0" fillId="0" borderId="0" xfId="0" applyNumberFormat="1" applyFill="1" applyAlignment="1">
      <alignment horizontal="left" vertical="top"/>
    </xf>
    <xf numFmtId="0" fontId="0" fillId="0" borderId="0" xfId="0" applyFill="1" applyAlignment="1">
      <alignment horizontal="left" vertical="top" wrapText="1"/>
    </xf>
    <xf numFmtId="0" fontId="0" fillId="0" borderId="0" xfId="0" applyFont="1" applyAlignment="1">
      <alignment horizontal="left" vertical="top" wrapText="1"/>
    </xf>
    <xf numFmtId="3" fontId="0" fillId="0" borderId="0" xfId="0" applyNumberFormat="1" applyFont="1" applyAlignment="1">
      <alignment vertical="top" wrapText="1"/>
    </xf>
    <xf numFmtId="3" fontId="0" fillId="0" borderId="0" xfId="0" applyNumberFormat="1" applyFont="1" applyAlignment="1">
      <alignment horizontal="left" vertical="top" wrapText="1"/>
    </xf>
    <xf numFmtId="2" fontId="0" fillId="0" borderId="0" xfId="0" applyNumberFormat="1" applyFill="1" applyBorder="1"/>
    <xf numFmtId="0" fontId="3" fillId="0" borderId="0" xfId="0" applyFont="1" applyFill="1" applyBorder="1"/>
    <xf numFmtId="0" fontId="46" fillId="0" borderId="0" xfId="0" applyFont="1" applyFill="1" applyAlignment="1">
      <alignment horizontal="center" vertical="center"/>
    </xf>
    <xf numFmtId="0" fontId="47" fillId="0" borderId="0" xfId="0" applyFont="1" applyFill="1" applyAlignment="1">
      <alignment horizontal="center" vertical="center"/>
    </xf>
    <xf numFmtId="0" fontId="45" fillId="0" borderId="0" xfId="0" applyFont="1" applyFill="1"/>
    <xf numFmtId="0" fontId="48" fillId="0" borderId="0" xfId="0" applyFont="1" applyFill="1" applyBorder="1"/>
    <xf numFmtId="0" fontId="45" fillId="0" borderId="0" xfId="0" applyFont="1" applyFill="1" applyBorder="1"/>
    <xf numFmtId="0" fontId="33" fillId="0" borderId="0" xfId="0" applyFont="1" applyFill="1" applyAlignment="1">
      <alignment horizontal="left" vertical="top" wrapText="1"/>
    </xf>
    <xf numFmtId="0" fontId="3" fillId="0" borderId="0" xfId="0" applyFont="1" applyFill="1"/>
    <xf numFmtId="0" fontId="32" fillId="0" borderId="0" xfId="0" applyFont="1" applyFill="1" applyAlignment="1">
      <alignment horizontal="center" vertical="center"/>
    </xf>
    <xf numFmtId="0" fontId="31" fillId="0" borderId="0" xfId="0" applyFont="1" applyFill="1"/>
    <xf numFmtId="0" fontId="33" fillId="0" borderId="0" xfId="0" applyFont="1" applyFill="1"/>
    <xf numFmtId="0" fontId="0" fillId="0" borderId="0" xfId="0" applyFill="1" applyAlignment="1">
      <alignment horizontal="left" vertical="top"/>
    </xf>
    <xf numFmtId="0" fontId="41" fillId="0" borderId="0" xfId="0" applyFont="1"/>
    <xf numFmtId="0" fontId="0" fillId="0" borderId="0" xfId="0" applyFill="1" applyBorder="1" applyAlignment="1">
      <alignment wrapText="1"/>
    </xf>
    <xf numFmtId="0" fontId="50" fillId="0" borderId="0" xfId="0" applyFont="1" applyFill="1" applyAlignment="1"/>
    <xf numFmtId="3" fontId="0" fillId="0" borderId="0" xfId="0" applyNumberFormat="1" applyFont="1" applyAlignment="1">
      <alignment vertical="top" wrapText="1"/>
    </xf>
    <xf numFmtId="166" fontId="51" fillId="0" borderId="2" xfId="5" applyNumberFormat="1" applyFont="1" applyFill="1" applyBorder="1" applyProtection="1"/>
    <xf numFmtId="166" fontId="52" fillId="0" borderId="2" xfId="5" applyNumberFormat="1" applyFont="1" applyFill="1" applyBorder="1" applyAlignment="1" applyProtection="1">
      <alignment horizontal="left"/>
    </xf>
    <xf numFmtId="3" fontId="6" fillId="0" borderId="2" xfId="5" applyNumberFormat="1" applyFont="1" applyFill="1" applyBorder="1" applyProtection="1"/>
    <xf numFmtId="166" fontId="6" fillId="0" borderId="0" xfId="5" applyNumberFormat="1" applyFont="1" applyFill="1" applyBorder="1" applyAlignment="1" applyProtection="1">
      <alignment horizontal="center"/>
    </xf>
    <xf numFmtId="3" fontId="6" fillId="0" borderId="0" xfId="5" applyNumberFormat="1" applyFont="1" applyFill="1" applyBorder="1" applyProtection="1"/>
    <xf numFmtId="9" fontId="6" fillId="0" borderId="0" xfId="5" applyNumberFormat="1" applyFont="1" applyFill="1" applyBorder="1" applyAlignment="1" applyProtection="1">
      <alignment horizontal="center"/>
    </xf>
    <xf numFmtId="166" fontId="51" fillId="0" borderId="1" xfId="5" applyNumberFormat="1" applyFont="1" applyFill="1" applyBorder="1" applyProtection="1"/>
    <xf numFmtId="183" fontId="51" fillId="0" borderId="1" xfId="5" applyNumberFormat="1" applyFont="1" applyFill="1" applyBorder="1" applyAlignment="1" applyProtection="1">
      <alignment horizontal="centerContinuous"/>
    </xf>
    <xf numFmtId="3" fontId="6" fillId="0" borderId="1" xfId="5" applyNumberFormat="1" applyFont="1" applyFill="1" applyBorder="1" applyProtection="1"/>
    <xf numFmtId="166" fontId="6" fillId="0" borderId="0" xfId="5" applyNumberFormat="1" applyFont="1" applyFill="1" applyAlignment="1" applyProtection="1">
      <alignment horizontal="center"/>
    </xf>
    <xf numFmtId="166" fontId="6" fillId="0" borderId="0" xfId="5" applyNumberFormat="1" applyFont="1" applyFill="1" applyAlignment="1" applyProtection="1">
      <alignment horizontal="centerContinuous"/>
    </xf>
    <xf numFmtId="3" fontId="6" fillId="0" borderId="0" xfId="5" applyNumberFormat="1" applyFont="1" applyFill="1" applyProtection="1"/>
    <xf numFmtId="166" fontId="51" fillId="0" borderId="0" xfId="5" applyNumberFormat="1" applyFont="1" applyFill="1" applyBorder="1" applyProtection="1"/>
    <xf numFmtId="166" fontId="52" fillId="0" borderId="0" xfId="5" applyNumberFormat="1" applyFont="1" applyFill="1" applyBorder="1" applyAlignment="1" applyProtection="1">
      <alignment horizontal="left"/>
    </xf>
    <xf numFmtId="183" fontId="51" fillId="0" borderId="0" xfId="5" applyNumberFormat="1" applyFont="1" applyFill="1" applyBorder="1" applyAlignment="1" applyProtection="1">
      <alignment horizontal="centerContinuous"/>
    </xf>
    <xf numFmtId="166" fontId="51" fillId="0" borderId="0" xfId="5" applyNumberFormat="1" applyFont="1" applyFill="1" applyProtection="1"/>
    <xf numFmtId="0" fontId="51" fillId="0" borderId="0" xfId="5" applyFont="1" applyFill="1" applyAlignment="1" applyProtection="1">
      <alignment horizontal="center"/>
    </xf>
    <xf numFmtId="166" fontId="6" fillId="0" borderId="0" xfId="5" applyNumberFormat="1" applyFont="1" applyFill="1" applyProtection="1"/>
    <xf numFmtId="166" fontId="6" fillId="0" borderId="0" xfId="5" applyNumberFormat="1" applyFont="1" applyFill="1" applyBorder="1" applyProtection="1"/>
    <xf numFmtId="0" fontId="6" fillId="0" borderId="0" xfId="5" applyFont="1" applyFill="1" applyProtection="1"/>
    <xf numFmtId="9" fontId="6" fillId="0" borderId="0" xfId="5" applyNumberFormat="1" applyFont="1" applyFill="1" applyAlignment="1" applyProtection="1">
      <alignment horizontal="center"/>
    </xf>
    <xf numFmtId="167" fontId="6" fillId="0" borderId="0" xfId="5" applyNumberFormat="1" applyFont="1" applyFill="1" applyAlignment="1" applyProtection="1">
      <alignment horizontal="centerContinuous"/>
    </xf>
    <xf numFmtId="0" fontId="6" fillId="0" borderId="0" xfId="5" applyNumberFormat="1" applyFont="1" applyFill="1" applyAlignment="1" applyProtection="1">
      <alignment horizontal="center"/>
    </xf>
    <xf numFmtId="0" fontId="53" fillId="0" borderId="0" xfId="5" applyFont="1" applyFill="1" applyAlignment="1" applyProtection="1">
      <alignment horizontal="center"/>
    </xf>
    <xf numFmtId="166" fontId="53" fillId="0" borderId="0" xfId="5" applyNumberFormat="1" applyFont="1" applyFill="1" applyAlignment="1" applyProtection="1">
      <alignment horizontal="right"/>
    </xf>
    <xf numFmtId="166" fontId="53" fillId="0" borderId="0" xfId="5" applyNumberFormat="1" applyFont="1" applyFill="1" applyBorder="1" applyAlignment="1" applyProtection="1">
      <alignment horizontal="right"/>
    </xf>
    <xf numFmtId="166" fontId="53" fillId="0" borderId="2" xfId="5" applyNumberFormat="1" applyFont="1" applyFill="1" applyBorder="1" applyAlignment="1" applyProtection="1">
      <alignment horizontal="centerContinuous"/>
    </xf>
    <xf numFmtId="166" fontId="53" fillId="0" borderId="0" xfId="5" applyNumberFormat="1" applyFont="1" applyFill="1" applyBorder="1" applyAlignment="1" applyProtection="1">
      <alignment horizontal="centerContinuous"/>
    </xf>
    <xf numFmtId="9" fontId="53" fillId="0" borderId="0" xfId="5" applyNumberFormat="1" applyFont="1" applyFill="1" applyAlignment="1" applyProtection="1">
      <alignment horizontal="center"/>
    </xf>
    <xf numFmtId="0" fontId="53" fillId="0" borderId="2" xfId="5" applyFont="1" applyFill="1" applyBorder="1" applyAlignment="1" applyProtection="1">
      <alignment horizontal="center" wrapText="1"/>
    </xf>
    <xf numFmtId="0" fontId="6" fillId="0" borderId="0" xfId="5" applyNumberFormat="1" applyFont="1" applyFill="1" applyAlignment="1" applyProtection="1">
      <alignment horizontal="center" wrapText="1"/>
    </xf>
    <xf numFmtId="166" fontId="53" fillId="0" borderId="2" xfId="5" applyNumberFormat="1" applyFont="1" applyFill="1" applyBorder="1" applyAlignment="1" applyProtection="1">
      <alignment horizontal="right" wrapText="1"/>
    </xf>
    <xf numFmtId="166" fontId="53" fillId="0" borderId="0" xfId="5" applyNumberFormat="1" applyFont="1" applyFill="1" applyBorder="1" applyAlignment="1" applyProtection="1">
      <alignment horizontal="right" wrapText="1"/>
    </xf>
    <xf numFmtId="166" fontId="53" fillId="0" borderId="2" xfId="5" applyNumberFormat="1" applyFont="1" applyFill="1" applyBorder="1" applyAlignment="1" applyProtection="1">
      <alignment horizontal="center" wrapText="1"/>
    </xf>
    <xf numFmtId="0" fontId="53" fillId="0" borderId="0" xfId="5" applyFont="1" applyFill="1" applyBorder="1" applyAlignment="1" applyProtection="1">
      <alignment horizontal="center" wrapText="1"/>
    </xf>
    <xf numFmtId="184" fontId="53" fillId="0" borderId="0" xfId="5" applyNumberFormat="1" applyFont="1" applyFill="1" applyBorder="1" applyAlignment="1" applyProtection="1">
      <alignment horizontal="right" wrapText="1"/>
    </xf>
    <xf numFmtId="9" fontId="53" fillId="0" borderId="0" xfId="5" applyNumberFormat="1" applyFont="1" applyFill="1" applyBorder="1" applyAlignment="1" applyProtection="1">
      <alignment horizontal="center" wrapText="1"/>
    </xf>
    <xf numFmtId="3" fontId="54" fillId="0" borderId="0" xfId="5" applyNumberFormat="1" applyFont="1" applyFill="1" applyProtection="1">
      <protection locked="0"/>
    </xf>
    <xf numFmtId="0" fontId="54" fillId="0" borderId="0" xfId="5" applyNumberFormat="1" applyFont="1" applyFill="1" applyAlignment="1" applyProtection="1">
      <alignment horizontal="center"/>
      <protection locked="0"/>
    </xf>
    <xf numFmtId="38" fontId="53" fillId="0" borderId="0" xfId="5" applyNumberFormat="1" applyFont="1" applyFill="1" applyBorder="1" applyAlignment="1" applyProtection="1">
      <alignment horizontal="right"/>
    </xf>
    <xf numFmtId="9" fontId="53" fillId="0" borderId="0" xfId="5" applyNumberFormat="1" applyFont="1" applyFill="1" applyAlignment="1" applyProtection="1">
      <alignment horizontal="right"/>
    </xf>
    <xf numFmtId="167" fontId="53" fillId="9" borderId="0" xfId="26" applyNumberFormat="1" applyFont="1" applyFill="1" applyBorder="1" applyAlignment="1" applyProtection="1">
      <alignment horizontal="left"/>
      <protection locked="0"/>
    </xf>
    <xf numFmtId="0" fontId="53" fillId="0" borderId="0" xfId="26" applyNumberFormat="1" applyFont="1" applyFill="1" applyBorder="1" applyAlignment="1" applyProtection="1">
      <alignment horizontal="center"/>
      <protection locked="0"/>
    </xf>
    <xf numFmtId="0" fontId="53" fillId="9" borderId="0" xfId="26" applyNumberFormat="1" applyFont="1" applyFill="1" applyAlignment="1" applyProtection="1">
      <alignment horizontal="center"/>
      <protection locked="0"/>
    </xf>
    <xf numFmtId="185" fontId="53" fillId="9" borderId="0" xfId="26" applyNumberFormat="1" applyFont="1" applyFill="1" applyBorder="1"/>
    <xf numFmtId="185" fontId="53" fillId="0" borderId="0" xfId="5" applyNumberFormat="1" applyFont="1" applyFill="1" applyBorder="1" applyAlignment="1" applyProtection="1">
      <alignment horizontal="right"/>
    </xf>
    <xf numFmtId="185" fontId="53" fillId="9" borderId="0" xfId="5" applyNumberFormat="1" applyFont="1" applyFill="1" applyBorder="1" applyAlignment="1" applyProtection="1">
      <alignment horizontal="center"/>
      <protection locked="0"/>
    </xf>
    <xf numFmtId="185" fontId="53" fillId="9" borderId="0" xfId="5" applyNumberFormat="1" applyFont="1" applyFill="1" applyAlignment="1" applyProtection="1">
      <alignment horizontal="right"/>
      <protection locked="0"/>
    </xf>
    <xf numFmtId="185" fontId="53" fillId="0" borderId="0" xfId="5" applyNumberFormat="1" applyFont="1" applyFill="1" applyAlignment="1" applyProtection="1">
      <alignment horizontal="right"/>
    </xf>
    <xf numFmtId="185" fontId="53" fillId="0" borderId="0" xfId="5" applyNumberFormat="1" applyFont="1" applyFill="1" applyProtection="1"/>
    <xf numFmtId="3" fontId="53" fillId="0" borderId="0" xfId="26" applyNumberFormat="1" applyFont="1" applyFill="1" applyBorder="1" applyAlignment="1" applyProtection="1">
      <protection locked="0"/>
    </xf>
    <xf numFmtId="0" fontId="53" fillId="0" borderId="0" xfId="5" applyNumberFormat="1" applyFont="1" applyFill="1" applyAlignment="1" applyProtection="1">
      <alignment horizontal="center"/>
      <protection locked="0"/>
    </xf>
    <xf numFmtId="185" fontId="53" fillId="0" borderId="0" xfId="26" applyNumberFormat="1" applyFont="1" applyFill="1" applyBorder="1"/>
    <xf numFmtId="185" fontId="53" fillId="0" borderId="0" xfId="26" applyNumberFormat="1" applyFont="1" applyFill="1" applyBorder="1" applyAlignment="1" applyProtection="1">
      <protection locked="0"/>
    </xf>
    <xf numFmtId="185" fontId="53" fillId="0" borderId="0" xfId="5" applyNumberFormat="1" applyFont="1" applyFill="1" applyBorder="1" applyAlignment="1" applyProtection="1">
      <alignment horizontal="center"/>
      <protection locked="0"/>
    </xf>
    <xf numFmtId="185" fontId="53" fillId="0" borderId="0" xfId="5" applyNumberFormat="1" applyFont="1" applyFill="1" applyAlignment="1" applyProtection="1">
      <alignment horizontal="right"/>
      <protection locked="0"/>
    </xf>
    <xf numFmtId="3" fontId="56" fillId="0" borderId="0" xfId="5" applyNumberFormat="1" applyFont="1" applyFill="1" applyAlignment="1" applyProtection="1">
      <alignment horizontal="right"/>
    </xf>
    <xf numFmtId="185" fontId="53" fillId="0" borderId="1" xfId="26" applyNumberFormat="1" applyFont="1" applyFill="1" applyBorder="1"/>
    <xf numFmtId="3" fontId="56" fillId="0" borderId="0" xfId="5" applyNumberFormat="1" applyFont="1" applyFill="1" applyProtection="1"/>
    <xf numFmtId="185" fontId="54" fillId="0" borderId="0" xfId="5" applyNumberFormat="1" applyFont="1" applyFill="1" applyProtection="1">
      <protection locked="0"/>
    </xf>
    <xf numFmtId="0" fontId="53" fillId="0" borderId="0" xfId="26" applyNumberFormat="1" applyFont="1" applyFill="1" applyAlignment="1" applyProtection="1">
      <alignment horizontal="center"/>
      <protection locked="0"/>
    </xf>
    <xf numFmtId="9" fontId="53" fillId="9" borderId="0" xfId="5" applyNumberFormat="1" applyFont="1" applyFill="1" applyAlignment="1" applyProtection="1">
      <alignment horizontal="right"/>
    </xf>
    <xf numFmtId="186" fontId="53" fillId="0" borderId="0" xfId="5" applyNumberFormat="1" applyFont="1" applyFill="1" applyProtection="1">
      <protection locked="0"/>
    </xf>
    <xf numFmtId="185" fontId="53" fillId="0" borderId="0" xfId="5" applyNumberFormat="1" applyFont="1" applyFill="1" applyProtection="1">
      <protection locked="0"/>
    </xf>
    <xf numFmtId="0" fontId="56" fillId="0" borderId="0" xfId="5" applyNumberFormat="1" applyFont="1" applyFill="1" applyAlignment="1" applyProtection="1">
      <alignment horizontal="center"/>
      <protection locked="0"/>
    </xf>
    <xf numFmtId="0" fontId="56" fillId="0" borderId="0" xfId="26" applyNumberFormat="1" applyFont="1" applyFill="1" applyAlignment="1" applyProtection="1">
      <alignment horizontal="center"/>
      <protection locked="0"/>
    </xf>
    <xf numFmtId="185" fontId="53" fillId="0" borderId="1" xfId="5" applyNumberFormat="1" applyFont="1" applyFill="1" applyBorder="1" applyAlignment="1" applyProtection="1">
      <alignment horizontal="right"/>
      <protection locked="0"/>
    </xf>
    <xf numFmtId="186" fontId="56" fillId="0" borderId="0" xfId="5" applyNumberFormat="1" applyFont="1" applyFill="1" applyProtection="1">
      <protection locked="0"/>
    </xf>
    <xf numFmtId="185" fontId="56" fillId="0" borderId="0" xfId="5" applyNumberFormat="1" applyFont="1" applyFill="1" applyBorder="1" applyAlignment="1" applyProtection="1">
      <alignment horizontal="right"/>
      <protection locked="0"/>
    </xf>
    <xf numFmtId="185" fontId="56" fillId="0" borderId="0" xfId="5" applyNumberFormat="1" applyFont="1" applyFill="1" applyProtection="1">
      <protection locked="0"/>
    </xf>
    <xf numFmtId="38" fontId="56" fillId="0" borderId="0" xfId="5" applyNumberFormat="1" applyFont="1" applyFill="1" applyBorder="1" applyAlignment="1" applyProtection="1">
      <alignment horizontal="right"/>
      <protection locked="0"/>
    </xf>
    <xf numFmtId="185" fontId="56" fillId="0" borderId="0" xfId="5" applyNumberFormat="1" applyFont="1" applyFill="1" applyAlignment="1" applyProtection="1">
      <alignment horizontal="right"/>
    </xf>
    <xf numFmtId="185" fontId="53" fillId="0" borderId="0" xfId="5" applyNumberFormat="1" applyFont="1" applyFill="1" applyBorder="1" applyAlignment="1" applyProtection="1">
      <alignment horizontal="right"/>
      <protection locked="0"/>
    </xf>
    <xf numFmtId="9" fontId="53" fillId="0" borderId="0" xfId="5" applyNumberFormat="1" applyFont="1" applyFill="1" applyBorder="1" applyAlignment="1" applyProtection="1">
      <alignment horizontal="right"/>
    </xf>
    <xf numFmtId="0" fontId="56" fillId="0" borderId="0" xfId="26" applyNumberFormat="1" applyFont="1" applyFill="1" applyBorder="1" applyAlignment="1" applyProtection="1">
      <alignment horizontal="center"/>
      <protection locked="0"/>
    </xf>
    <xf numFmtId="3" fontId="53" fillId="0" borderId="0" xfId="5" applyNumberFormat="1" applyFont="1" applyProtection="1"/>
    <xf numFmtId="0" fontId="53" fillId="0" borderId="0" xfId="5" applyNumberFormat="1" applyFont="1" applyAlignment="1" applyProtection="1">
      <alignment horizontal="center"/>
    </xf>
    <xf numFmtId="185" fontId="53" fillId="0" borderId="0" xfId="5" applyNumberFormat="1" applyFont="1" applyProtection="1"/>
    <xf numFmtId="185" fontId="53" fillId="0" borderId="0" xfId="5" applyNumberFormat="1" applyFont="1" applyBorder="1" applyProtection="1"/>
    <xf numFmtId="185" fontId="53" fillId="0" borderId="0" xfId="5" applyNumberFormat="1" applyFont="1" applyAlignment="1" applyProtection="1">
      <alignment horizontal="center"/>
    </xf>
    <xf numFmtId="9" fontId="53" fillId="0" borderId="0" xfId="5" applyNumberFormat="1" applyFont="1" applyAlignment="1" applyProtection="1">
      <alignment horizontal="center"/>
    </xf>
    <xf numFmtId="3" fontId="53" fillId="0" borderId="0" xfId="5" applyNumberFormat="1" applyFont="1" applyFill="1" applyProtection="1"/>
    <xf numFmtId="0" fontId="53" fillId="0" borderId="0" xfId="5" applyNumberFormat="1" applyFont="1" applyFill="1" applyAlignment="1" applyProtection="1">
      <alignment horizontal="center"/>
    </xf>
    <xf numFmtId="185" fontId="53" fillId="0" borderId="0" xfId="5" applyNumberFormat="1" applyFont="1" applyFill="1" applyBorder="1" applyProtection="1"/>
    <xf numFmtId="185" fontId="53" fillId="0" borderId="0" xfId="5" applyNumberFormat="1" applyFont="1" applyFill="1" applyAlignment="1" applyProtection="1">
      <alignment horizontal="center"/>
    </xf>
    <xf numFmtId="185" fontId="56" fillId="0" borderId="4" xfId="5" applyNumberFormat="1" applyFont="1" applyFill="1" applyBorder="1" applyProtection="1"/>
    <xf numFmtId="3" fontId="0" fillId="0" borderId="3" xfId="0" applyNumberFormat="1" applyFont="1" applyBorder="1" applyAlignment="1">
      <alignment vertical="top"/>
    </xf>
    <xf numFmtId="182" fontId="0" fillId="0" borderId="0" xfId="0" applyNumberFormat="1" applyFont="1" applyAlignment="1">
      <alignment vertical="top"/>
    </xf>
    <xf numFmtId="10" fontId="0" fillId="0" borderId="0" xfId="1" applyNumberFormat="1" applyFont="1" applyAlignment="1">
      <alignment vertical="top"/>
    </xf>
    <xf numFmtId="14" fontId="0" fillId="0" borderId="0" xfId="0" applyNumberFormat="1" applyFont="1" applyAlignment="1">
      <alignment vertical="top"/>
    </xf>
    <xf numFmtId="1" fontId="0" fillId="0" borderId="0" xfId="0" applyNumberFormat="1" applyFont="1" applyAlignment="1">
      <alignment vertical="top"/>
    </xf>
    <xf numFmtId="3" fontId="53" fillId="0" borderId="0" xfId="5" applyNumberFormat="1" applyFont="1" applyFill="1" applyBorder="1" applyProtection="1"/>
    <xf numFmtId="3" fontId="53" fillId="0" borderId="2" xfId="5" applyNumberFormat="1" applyFont="1" applyFill="1" applyBorder="1" applyProtection="1"/>
    <xf numFmtId="3" fontId="19" fillId="0" borderId="0" xfId="5" applyNumberFormat="1" applyFont="1" applyFill="1" applyBorder="1" applyAlignment="1" applyProtection="1">
      <alignment horizontal="center"/>
    </xf>
    <xf numFmtId="3" fontId="53" fillId="0" borderId="0" xfId="5" applyNumberFormat="1" applyFont="1" applyFill="1" applyBorder="1" applyAlignment="1" applyProtection="1">
      <alignment wrapText="1"/>
    </xf>
    <xf numFmtId="3" fontId="53" fillId="0" borderId="2" xfId="5" applyNumberFormat="1" applyFont="1" applyFill="1" applyBorder="1" applyAlignment="1" applyProtection="1">
      <alignment wrapText="1"/>
    </xf>
    <xf numFmtId="3" fontId="19" fillId="0" borderId="0" xfId="5" applyNumberFormat="1" applyFont="1" applyFill="1" applyBorder="1" applyAlignment="1" applyProtection="1">
      <alignment horizontal="center" wrapText="1"/>
    </xf>
    <xf numFmtId="3" fontId="53" fillId="0" borderId="0" xfId="5" applyNumberFormat="1" applyFont="1" applyFill="1" applyBorder="1" applyAlignment="1" applyProtection="1">
      <alignment horizontal="centerContinuous" wrapText="1"/>
    </xf>
    <xf numFmtId="3" fontId="53" fillId="0" borderId="0" xfId="5" applyNumberFormat="1" applyFont="1" applyFill="1" applyAlignment="1" applyProtection="1">
      <alignment wrapText="1"/>
    </xf>
    <xf numFmtId="3" fontId="6" fillId="0" borderId="0" xfId="5" applyNumberFormat="1" applyFont="1" applyFill="1" applyBorder="1" applyAlignment="1" applyProtection="1">
      <alignment horizontal="center"/>
    </xf>
    <xf numFmtId="3" fontId="5" fillId="0" borderId="13" xfId="5" applyNumberFormat="1" applyFont="1" applyFill="1" applyBorder="1" applyAlignment="1" applyProtection="1">
      <alignment horizontal="left"/>
    </xf>
    <xf numFmtId="3" fontId="6" fillId="0" borderId="14" xfId="5" applyNumberFormat="1" applyFont="1" applyFill="1" applyBorder="1" applyAlignment="1" applyProtection="1">
      <alignment horizontal="center"/>
    </xf>
    <xf numFmtId="3" fontId="6" fillId="0" borderId="14" xfId="5" applyNumberFormat="1" applyFont="1" applyFill="1" applyBorder="1" applyProtection="1"/>
    <xf numFmtId="3" fontId="6" fillId="0" borderId="15" xfId="5" applyNumberFormat="1" applyFont="1" applyFill="1" applyBorder="1" applyProtection="1"/>
    <xf numFmtId="3" fontId="5" fillId="0" borderId="16" xfId="5" applyNumberFormat="1" applyFont="1" applyFill="1" applyBorder="1" applyAlignment="1" applyProtection="1">
      <alignment horizontal="left"/>
    </xf>
    <xf numFmtId="3" fontId="6" fillId="0" borderId="17" xfId="5" applyNumberFormat="1" applyFont="1" applyFill="1" applyBorder="1" applyProtection="1"/>
    <xf numFmtId="185" fontId="19" fillId="0" borderId="0" xfId="5" applyNumberFormat="1" applyFont="1" applyFill="1" applyBorder="1" applyProtection="1"/>
    <xf numFmtId="3" fontId="19" fillId="0" borderId="16" xfId="5" applyNumberFormat="1" applyFont="1" applyFill="1" applyBorder="1" applyAlignment="1" applyProtection="1">
      <alignment horizontal="center"/>
    </xf>
    <xf numFmtId="38" fontId="53" fillId="0" borderId="17" xfId="5" applyNumberFormat="1" applyFont="1" applyFill="1" applyBorder="1" applyAlignment="1" applyProtection="1">
      <alignment horizontal="right"/>
    </xf>
    <xf numFmtId="185" fontId="6" fillId="0" borderId="0" xfId="8" applyNumberFormat="1" applyFont="1"/>
    <xf numFmtId="0" fontId="6" fillId="0" borderId="0" xfId="8" applyFont="1" applyAlignment="1">
      <alignment horizontal="right"/>
    </xf>
    <xf numFmtId="185" fontId="57" fillId="0" borderId="0" xfId="5" applyNumberFormat="1" applyFont="1" applyFill="1" applyBorder="1" applyProtection="1"/>
    <xf numFmtId="3" fontId="57" fillId="0" borderId="16" xfId="5" applyNumberFormat="1" applyFont="1" applyFill="1" applyBorder="1" applyAlignment="1" applyProtection="1">
      <alignment horizontal="center"/>
    </xf>
    <xf numFmtId="3" fontId="57" fillId="0" borderId="0" xfId="5" applyNumberFormat="1" applyFont="1" applyFill="1" applyBorder="1" applyAlignment="1" applyProtection="1">
      <alignment horizontal="center"/>
    </xf>
    <xf numFmtId="3" fontId="56" fillId="0" borderId="0" xfId="5" applyNumberFormat="1" applyFont="1" applyFill="1" applyBorder="1" applyProtection="1"/>
    <xf numFmtId="167" fontId="53" fillId="0" borderId="0" xfId="8" applyNumberFormat="1" applyFont="1" applyFill="1" applyProtection="1">
      <protection locked="0"/>
    </xf>
    <xf numFmtId="0" fontId="53" fillId="0" borderId="0" xfId="8" applyNumberFormat="1" applyFont="1" applyFill="1" applyAlignment="1" applyProtection="1">
      <alignment horizontal="center"/>
      <protection locked="0"/>
    </xf>
    <xf numFmtId="185" fontId="53" fillId="0" borderId="0" xfId="8" applyNumberFormat="1" applyFont="1" applyFill="1"/>
    <xf numFmtId="185" fontId="53" fillId="0" borderId="0" xfId="8" applyNumberFormat="1" applyFont="1" applyFill="1" applyProtection="1">
      <protection locked="0"/>
    </xf>
    <xf numFmtId="185" fontId="53" fillId="0" borderId="0" xfId="8" applyNumberFormat="1" applyFont="1" applyFill="1" applyAlignment="1">
      <alignment horizontal="right"/>
    </xf>
    <xf numFmtId="185" fontId="53" fillId="0" borderId="0" xfId="8" applyNumberFormat="1" applyFont="1" applyFill="1" applyAlignment="1" applyProtection="1">
      <alignment horizontal="center"/>
      <protection locked="0"/>
    </xf>
    <xf numFmtId="185" fontId="53" fillId="0" borderId="0" xfId="8" applyNumberFormat="1" applyFont="1" applyFill="1" applyAlignment="1" applyProtection="1">
      <alignment horizontal="right"/>
      <protection locked="0"/>
    </xf>
    <xf numFmtId="185" fontId="5" fillId="0" borderId="0" xfId="8" applyNumberFormat="1" applyFont="1"/>
    <xf numFmtId="0" fontId="5" fillId="0" borderId="0" xfId="8" applyFont="1" applyAlignment="1">
      <alignment horizontal="right"/>
    </xf>
    <xf numFmtId="3" fontId="53" fillId="0" borderId="0" xfId="5" applyNumberFormat="1" applyFont="1" applyFill="1" applyBorder="1" applyAlignment="1" applyProtection="1">
      <alignment horizontal="center"/>
    </xf>
    <xf numFmtId="3" fontId="53" fillId="0" borderId="0" xfId="5" applyNumberFormat="1" applyFont="1" applyBorder="1" applyAlignment="1" applyProtection="1">
      <alignment horizontal="center"/>
    </xf>
    <xf numFmtId="3" fontId="53" fillId="0" borderId="0" xfId="5" applyNumberFormat="1" applyFont="1" applyBorder="1" applyProtection="1"/>
    <xf numFmtId="0" fontId="53" fillId="0" borderId="0" xfId="5" applyFont="1" applyAlignment="1" applyProtection="1">
      <alignment horizontal="center"/>
    </xf>
    <xf numFmtId="3" fontId="53" fillId="0" borderId="0" xfId="5" applyNumberFormat="1" applyFont="1" applyAlignment="1" applyProtection="1">
      <alignment horizontal="center"/>
    </xf>
    <xf numFmtId="3" fontId="0" fillId="0" borderId="3" xfId="0" applyNumberFormat="1" applyFont="1" applyFill="1" applyBorder="1"/>
    <xf numFmtId="3" fontId="14" fillId="0" borderId="0" xfId="0" applyNumberFormat="1" applyFont="1" applyFill="1"/>
    <xf numFmtId="0" fontId="0" fillId="0" borderId="0" xfId="0" applyAlignment="1">
      <alignment horizontal="center"/>
    </xf>
    <xf numFmtId="0" fontId="0" fillId="4" borderId="0" xfId="0" applyFill="1" applyAlignment="1">
      <alignment horizontal="center"/>
    </xf>
    <xf numFmtId="10" fontId="0" fillId="0" borderId="0" xfId="0" applyNumberFormat="1"/>
    <xf numFmtId="3" fontId="0" fillId="0" borderId="0" xfId="0" applyNumberFormat="1" applyFont="1" applyAlignment="1">
      <alignment vertical="top" wrapText="1"/>
    </xf>
    <xf numFmtId="0" fontId="58" fillId="0" borderId="0" xfId="0" applyFont="1"/>
    <xf numFmtId="0" fontId="0" fillId="0" borderId="0" xfId="0" applyFont="1" applyFill="1" applyAlignment="1">
      <alignment horizontal="left" vertical="top" wrapText="1"/>
    </xf>
    <xf numFmtId="3" fontId="0" fillId="0" borderId="0" xfId="0" applyNumberFormat="1" applyFill="1" applyBorder="1"/>
    <xf numFmtId="0" fontId="0" fillId="0" borderId="0" xfId="0" applyFont="1" applyFill="1" applyBorder="1" applyAlignment="1">
      <alignment wrapText="1"/>
    </xf>
    <xf numFmtId="3" fontId="0" fillId="0" borderId="0" xfId="0" applyNumberFormat="1" applyFont="1" applyAlignment="1">
      <alignment horizontal="right" vertical="top"/>
    </xf>
    <xf numFmtId="3" fontId="0" fillId="0" borderId="0" xfId="0" applyNumberFormat="1" applyFont="1" applyAlignment="1">
      <alignment horizontal="right" vertical="top" wrapText="1"/>
    </xf>
    <xf numFmtId="9" fontId="0" fillId="0" borderId="0" xfId="1" applyFont="1" applyAlignment="1">
      <alignment horizontal="right" vertical="top" wrapText="1"/>
    </xf>
    <xf numFmtId="0" fontId="0" fillId="0" borderId="0" xfId="0" applyFill="1" applyAlignment="1">
      <alignment horizontal="left" vertical="top" wrapText="1"/>
    </xf>
    <xf numFmtId="3" fontId="44" fillId="0" borderId="0" xfId="0" applyNumberFormat="1" applyFont="1" applyBorder="1"/>
    <xf numFmtId="0" fontId="3" fillId="0" borderId="6" xfId="0" applyFont="1" applyBorder="1"/>
    <xf numFmtId="9" fontId="3" fillId="0" borderId="6" xfId="0" applyNumberFormat="1" applyFont="1" applyBorder="1"/>
    <xf numFmtId="3" fontId="3" fillId="0" borderId="6" xfId="0" applyNumberFormat="1" applyFont="1" applyBorder="1"/>
    <xf numFmtId="0" fontId="2" fillId="0" borderId="0" xfId="0" applyFont="1"/>
    <xf numFmtId="14" fontId="0" fillId="4" borderId="0" xfId="0" applyNumberFormat="1" applyFill="1" applyAlignment="1">
      <alignment horizontal="left" vertical="top" wrapText="1"/>
    </xf>
    <xf numFmtId="0" fontId="3" fillId="0" borderId="0" xfId="0" applyFont="1" applyFill="1" applyAlignment="1">
      <alignment vertical="top"/>
    </xf>
    <xf numFmtId="0" fontId="0" fillId="0" borderId="0" xfId="0" applyFont="1" applyAlignment="1">
      <alignment horizontal="left" vertical="top" wrapText="1"/>
    </xf>
    <xf numFmtId="3" fontId="0" fillId="0" borderId="0" xfId="0" applyNumberFormat="1" applyFont="1" applyAlignment="1">
      <alignment horizontal="left" vertical="top" wrapText="1"/>
    </xf>
    <xf numFmtId="3" fontId="0" fillId="0" borderId="0" xfId="0" applyNumberFormat="1" applyFont="1" applyAlignment="1">
      <alignment vertical="top" wrapText="1"/>
    </xf>
    <xf numFmtId="0" fontId="59" fillId="0" borderId="0" xfId="0" applyFont="1" applyFill="1" applyAlignment="1">
      <alignment horizontal="left" vertical="top"/>
    </xf>
    <xf numFmtId="164" fontId="0" fillId="0" borderId="0" xfId="4" applyFont="1"/>
    <xf numFmtId="10" fontId="0" fillId="0" borderId="0" xfId="1" applyNumberFormat="1" applyFont="1" applyFill="1" applyBorder="1"/>
    <xf numFmtId="49" fontId="0" fillId="0" borderId="0" xfId="0" applyNumberFormat="1" applyFont="1" applyAlignment="1">
      <alignment horizontal="right" vertical="top" indent="1"/>
    </xf>
    <xf numFmtId="0" fontId="2" fillId="0" borderId="0" xfId="0" applyFont="1" applyFill="1"/>
    <xf numFmtId="3" fontId="2" fillId="0" borderId="0" xfId="0" applyNumberFormat="1" applyFont="1" applyFill="1"/>
    <xf numFmtId="3" fontId="2" fillId="0" borderId="0" xfId="0" applyNumberFormat="1" applyFont="1" applyAlignment="1">
      <alignment vertical="top" wrapText="1"/>
    </xf>
    <xf numFmtId="3" fontId="3" fillId="0" borderId="0" xfId="0" applyNumberFormat="1" applyFont="1" applyFill="1"/>
    <xf numFmtId="3" fontId="0" fillId="0" borderId="0" xfId="0" applyNumberFormat="1" applyFont="1" applyFill="1" applyAlignment="1">
      <alignment vertical="top"/>
    </xf>
    <xf numFmtId="3" fontId="0" fillId="0" borderId="0" xfId="0" applyNumberFormat="1" applyFont="1" applyFill="1" applyAlignment="1">
      <alignment vertical="top" wrapText="1"/>
    </xf>
    <xf numFmtId="0" fontId="0" fillId="0" borderId="0" xfId="0" applyAlignment="1">
      <alignment horizontal="left" vertical="top" wrapText="1"/>
    </xf>
    <xf numFmtId="10" fontId="0" fillId="5" borderId="0" xfId="1" applyNumberFormat="1" applyFont="1" applyFill="1"/>
    <xf numFmtId="10" fontId="0" fillId="5" borderId="0" xfId="1" applyNumberFormat="1" applyFont="1" applyFill="1" applyAlignment="1">
      <alignment horizontal="right"/>
    </xf>
    <xf numFmtId="0" fontId="0" fillId="0" borderId="0" xfId="0" applyBorder="1" applyAlignment="1"/>
    <xf numFmtId="0" fontId="0" fillId="0" borderId="0" xfId="0" applyBorder="1" applyAlignment="1">
      <alignment wrapText="1"/>
    </xf>
    <xf numFmtId="3" fontId="0" fillId="2" borderId="0" xfId="0" applyNumberFormat="1" applyFill="1"/>
    <xf numFmtId="0" fontId="29" fillId="0" borderId="0" xfId="0" applyFont="1"/>
    <xf numFmtId="0" fontId="29" fillId="0" borderId="0" xfId="0" applyFont="1" applyFill="1"/>
    <xf numFmtId="185" fontId="60" fillId="10" borderId="13" xfId="0" applyNumberFormat="1" applyFont="1" applyFill="1" applyBorder="1"/>
    <xf numFmtId="170" fontId="60" fillId="10" borderId="14" xfId="0" applyNumberFormat="1" applyFont="1" applyFill="1" applyBorder="1" applyAlignment="1">
      <alignment horizontal="center"/>
    </xf>
    <xf numFmtId="170" fontId="60" fillId="10" borderId="15" xfId="0" applyNumberFormat="1" applyFont="1" applyFill="1" applyBorder="1" applyAlignment="1">
      <alignment horizontal="center"/>
    </xf>
    <xf numFmtId="185" fontId="60" fillId="10" borderId="16" xfId="0" applyNumberFormat="1" applyFont="1" applyFill="1" applyBorder="1"/>
    <xf numFmtId="14" fontId="60" fillId="10" borderId="0" xfId="0" applyNumberFormat="1" applyFont="1" applyFill="1" applyBorder="1" applyAlignment="1">
      <alignment horizontal="center"/>
    </xf>
    <xf numFmtId="170" fontId="60" fillId="10" borderId="0" xfId="0" applyNumberFormat="1" applyFont="1" applyFill="1" applyBorder="1" applyAlignment="1">
      <alignment horizontal="center"/>
    </xf>
    <xf numFmtId="14" fontId="61" fillId="10" borderId="17" xfId="0" applyNumberFormat="1" applyFont="1" applyFill="1" applyBorder="1" applyAlignment="1">
      <alignment horizontal="center"/>
    </xf>
    <xf numFmtId="185" fontId="61" fillId="10" borderId="18" xfId="0" applyNumberFormat="1" applyFont="1" applyFill="1" applyBorder="1"/>
    <xf numFmtId="170" fontId="60" fillId="10" borderId="5" xfId="0" applyNumberFormat="1" applyFont="1" applyFill="1" applyBorder="1"/>
    <xf numFmtId="14" fontId="61" fillId="10" borderId="19" xfId="0" applyNumberFormat="1" applyFont="1" applyFill="1" applyBorder="1" applyAlignment="1">
      <alignment horizontal="center"/>
    </xf>
    <xf numFmtId="185" fontId="30" fillId="7" borderId="0" xfId="0" applyNumberFormat="1" applyFont="1" applyFill="1" applyBorder="1"/>
    <xf numFmtId="170" fontId="60" fillId="7" borderId="0" xfId="0" applyNumberFormat="1" applyFont="1" applyFill="1" applyBorder="1"/>
    <xf numFmtId="14" fontId="61" fillId="7" borderId="0" xfId="0" applyNumberFormat="1" applyFont="1" applyFill="1" applyBorder="1" applyAlignment="1">
      <alignment horizontal="center"/>
    </xf>
    <xf numFmtId="14" fontId="28" fillId="7" borderId="10" xfId="0" applyNumberFormat="1" applyFont="1" applyFill="1" applyBorder="1"/>
    <xf numFmtId="185" fontId="28" fillId="7" borderId="20" xfId="0" applyNumberFormat="1" applyFont="1" applyFill="1" applyBorder="1"/>
    <xf numFmtId="0" fontId="30" fillId="7" borderId="21" xfId="0" applyFont="1" applyFill="1" applyBorder="1"/>
    <xf numFmtId="4" fontId="30" fillId="4" borderId="10" xfId="0" applyNumberFormat="1" applyFont="1" applyFill="1" applyBorder="1"/>
    <xf numFmtId="14" fontId="28" fillId="7" borderId="22" xfId="0" applyNumberFormat="1" applyFont="1" applyFill="1" applyBorder="1"/>
    <xf numFmtId="185" fontId="30" fillId="7" borderId="23" xfId="0" applyNumberFormat="1" applyFont="1" applyFill="1" applyBorder="1"/>
    <xf numFmtId="0" fontId="30" fillId="7" borderId="24" xfId="0" applyFont="1" applyFill="1" applyBorder="1"/>
    <xf numFmtId="185" fontId="30" fillId="7" borderId="22" xfId="0" applyNumberFormat="1" applyFont="1" applyFill="1" applyBorder="1"/>
    <xf numFmtId="185" fontId="30" fillId="4" borderId="22" xfId="0" applyNumberFormat="1" applyFont="1" applyFill="1" applyBorder="1"/>
    <xf numFmtId="185" fontId="30" fillId="4" borderId="23" xfId="0" applyNumberFormat="1" applyFont="1" applyFill="1" applyBorder="1"/>
    <xf numFmtId="185" fontId="30" fillId="4" borderId="24" xfId="0" applyNumberFormat="1" applyFont="1" applyFill="1" applyBorder="1"/>
    <xf numFmtId="185" fontId="30" fillId="4" borderId="27" xfId="0" applyNumberFormat="1" applyFont="1" applyFill="1" applyBorder="1"/>
    <xf numFmtId="185" fontId="30" fillId="4" borderId="26" xfId="0" applyNumberFormat="1" applyFont="1" applyFill="1" applyBorder="1"/>
    <xf numFmtId="185" fontId="30" fillId="4" borderId="25" xfId="0" applyNumberFormat="1" applyFont="1" applyFill="1" applyBorder="1"/>
    <xf numFmtId="14" fontId="28" fillId="7" borderId="0" xfId="0" applyNumberFormat="1" applyFont="1" applyFill="1" applyBorder="1"/>
    <xf numFmtId="0" fontId="30" fillId="7" borderId="0" xfId="0" applyFont="1" applyFill="1" applyBorder="1"/>
    <xf numFmtId="0" fontId="28" fillId="7" borderId="0" xfId="0" applyFont="1" applyFill="1" applyBorder="1"/>
    <xf numFmtId="0" fontId="30" fillId="7" borderId="0" xfId="0" applyFont="1" applyFill="1"/>
    <xf numFmtId="4" fontId="28" fillId="7" borderId="1" xfId="0" applyNumberFormat="1" applyFont="1" applyFill="1" applyBorder="1"/>
    <xf numFmtId="4" fontId="30" fillId="7" borderId="0" xfId="0" applyNumberFormat="1" applyFont="1" applyFill="1" applyBorder="1"/>
    <xf numFmtId="0" fontId="28" fillId="7" borderId="0" xfId="0" applyFont="1" applyFill="1" applyBorder="1" applyAlignment="1"/>
    <xf numFmtId="43" fontId="28" fillId="7" borderId="1" xfId="0" applyNumberFormat="1" applyFont="1" applyFill="1" applyBorder="1"/>
    <xf numFmtId="0" fontId="28" fillId="7" borderId="0" xfId="0" applyFont="1" applyFill="1" applyBorder="1" applyAlignment="1">
      <alignment horizontal="right"/>
    </xf>
    <xf numFmtId="43" fontId="28" fillId="7" borderId="0" xfId="0" applyNumberFormat="1" applyFont="1" applyFill="1" applyBorder="1"/>
    <xf numFmtId="43" fontId="28" fillId="7" borderId="5" xfId="0" applyNumberFormat="1" applyFont="1" applyFill="1" applyBorder="1"/>
    <xf numFmtId="0" fontId="62" fillId="7" borderId="0" xfId="0" applyFont="1" applyFill="1" applyBorder="1" applyAlignment="1">
      <alignment horizontal="left"/>
    </xf>
    <xf numFmtId="0" fontId="62" fillId="7" borderId="0" xfId="0" applyFont="1" applyFill="1" applyAlignment="1">
      <alignment horizontal="left"/>
    </xf>
    <xf numFmtId="3" fontId="44" fillId="0" borderId="0" xfId="0" applyNumberFormat="1" applyFont="1"/>
    <xf numFmtId="0" fontId="0" fillId="0" borderId="0" xfId="0" applyFont="1" applyAlignment="1">
      <alignment horizontal="left" vertical="top" wrapText="1"/>
    </xf>
    <xf numFmtId="3" fontId="0" fillId="0" borderId="0" xfId="0" applyNumberFormat="1" applyFont="1" applyFill="1" applyAlignment="1">
      <alignment vertical="top" wrapText="1"/>
    </xf>
    <xf numFmtId="14" fontId="30" fillId="7" borderId="22" xfId="0" applyNumberFormat="1" applyFont="1" applyFill="1" applyBorder="1"/>
    <xf numFmtId="14" fontId="30" fillId="4" borderId="22" xfId="0" applyNumberFormat="1" applyFont="1" applyFill="1" applyBorder="1"/>
    <xf numFmtId="14" fontId="30" fillId="4" borderId="27" xfId="0" applyNumberFormat="1" applyFont="1" applyFill="1" applyBorder="1"/>
    <xf numFmtId="14" fontId="30" fillId="7" borderId="0" xfId="0" applyNumberFormat="1" applyFont="1" applyFill="1" applyBorder="1"/>
    <xf numFmtId="14" fontId="62" fillId="7" borderId="0" xfId="0" applyNumberFormat="1" applyFont="1" applyFill="1" applyBorder="1" applyAlignment="1">
      <alignment horizontal="left"/>
    </xf>
    <xf numFmtId="49" fontId="0" fillId="0" borderId="0" xfId="0" applyNumberFormat="1"/>
    <xf numFmtId="49" fontId="28" fillId="10" borderId="14" xfId="0" applyNumberFormat="1" applyFont="1" applyFill="1" applyBorder="1"/>
    <xf numFmtId="49" fontId="28" fillId="10" borderId="0" xfId="0" applyNumberFormat="1" applyFont="1" applyFill="1" applyBorder="1"/>
    <xf numFmtId="49" fontId="30" fillId="10" borderId="5" xfId="0" applyNumberFormat="1" applyFont="1" applyFill="1" applyBorder="1"/>
    <xf numFmtId="49" fontId="30" fillId="7" borderId="0" xfId="0" applyNumberFormat="1" applyFont="1" applyFill="1" applyBorder="1"/>
    <xf numFmtId="49" fontId="62" fillId="7" borderId="0" xfId="0" applyNumberFormat="1" applyFont="1" applyFill="1" applyAlignment="1">
      <alignment horizontal="left"/>
    </xf>
    <xf numFmtId="49" fontId="30" fillId="7" borderId="3" xfId="0" applyNumberFormat="1" applyFont="1" applyFill="1" applyBorder="1" applyAlignment="1">
      <alignment horizontal="center"/>
    </xf>
    <xf numFmtId="49" fontId="30" fillId="7" borderId="0" xfId="0" applyNumberFormat="1" applyFont="1" applyFill="1" applyBorder="1" applyAlignment="1">
      <alignment horizontal="center"/>
    </xf>
    <xf numFmtId="49" fontId="30" fillId="4" borderId="0" xfId="0" applyNumberFormat="1" applyFont="1" applyFill="1" applyBorder="1" applyAlignment="1">
      <alignment horizontal="center"/>
    </xf>
    <xf numFmtId="49" fontId="28" fillId="4" borderId="2" xfId="0" applyNumberFormat="1" applyFont="1" applyFill="1" applyBorder="1" applyAlignment="1">
      <alignment horizontal="center"/>
    </xf>
    <xf numFmtId="49" fontId="62" fillId="7" borderId="0" xfId="0" applyNumberFormat="1" applyFont="1" applyFill="1" applyBorder="1" applyAlignment="1">
      <alignment horizontal="left"/>
    </xf>
    <xf numFmtId="49" fontId="28" fillId="7" borderId="21" xfId="0" applyNumberFormat="1" applyFont="1" applyFill="1" applyBorder="1" applyAlignment="1">
      <alignment horizontal="center"/>
    </xf>
    <xf numFmtId="49" fontId="28" fillId="7" borderId="24" xfId="0" applyNumberFormat="1" applyFont="1" applyFill="1" applyBorder="1" applyAlignment="1">
      <alignment horizontal="center"/>
    </xf>
    <xf numFmtId="49" fontId="28" fillId="7" borderId="0" xfId="0" applyNumberFormat="1" applyFont="1" applyFill="1" applyBorder="1" applyAlignment="1">
      <alignment horizontal="center"/>
    </xf>
    <xf numFmtId="49" fontId="30" fillId="7" borderId="2" xfId="0" applyNumberFormat="1" applyFont="1" applyFill="1" applyBorder="1" applyAlignment="1">
      <alignment horizontal="center"/>
    </xf>
    <xf numFmtId="49" fontId="29" fillId="0" borderId="0" xfId="0" applyNumberFormat="1" applyFont="1"/>
    <xf numFmtId="0" fontId="63" fillId="0" borderId="0" xfId="0" applyFont="1" applyAlignment="1">
      <alignment horizontal="left"/>
    </xf>
    <xf numFmtId="0" fontId="4" fillId="0" borderId="12" xfId="6" applyBorder="1" applyAlignment="1">
      <alignment horizontal="center"/>
    </xf>
    <xf numFmtId="3" fontId="4" fillId="0" borderId="12" xfId="6" applyNumberFormat="1" applyBorder="1" applyAlignment="1">
      <alignment horizontal="center"/>
    </xf>
    <xf numFmtId="0" fontId="4" fillId="0" borderId="12" xfId="6" applyBorder="1"/>
    <xf numFmtId="0" fontId="4" fillId="0" borderId="12" xfId="6" applyFill="1" applyBorder="1" applyAlignment="1">
      <alignment horizontal="center"/>
    </xf>
    <xf numFmtId="9" fontId="4" fillId="0" borderId="12" xfId="1" applyFont="1" applyBorder="1" applyAlignment="1">
      <alignment horizontal="center"/>
    </xf>
    <xf numFmtId="10" fontId="0" fillId="0" borderId="12" xfId="0" applyNumberFormat="1" applyFill="1" applyBorder="1" applyAlignment="1">
      <alignment horizontal="center"/>
    </xf>
    <xf numFmtId="2" fontId="0" fillId="0" borderId="12" xfId="0" applyNumberFormat="1" applyFill="1" applyBorder="1" applyAlignment="1">
      <alignment horizontal="center"/>
    </xf>
    <xf numFmtId="0" fontId="3" fillId="2" borderId="0" xfId="0" applyFont="1" applyFill="1" applyAlignment="1">
      <alignment horizontal="left" vertical="top" wrapText="1"/>
    </xf>
    <xf numFmtId="0" fontId="3" fillId="11" borderId="12" xfId="0" applyFont="1" applyFill="1" applyBorder="1" applyAlignment="1">
      <alignment horizontal="center" vertical="top" wrapText="1"/>
    </xf>
    <xf numFmtId="185" fontId="0" fillId="0" borderId="0" xfId="0" applyNumberFormat="1"/>
    <xf numFmtId="10" fontId="0" fillId="0" borderId="0" xfId="1" applyNumberFormat="1" applyFont="1"/>
    <xf numFmtId="187" fontId="0" fillId="0" borderId="0" xfId="0" applyNumberFormat="1"/>
    <xf numFmtId="3" fontId="18" fillId="0" borderId="12" xfId="0" applyNumberFormat="1" applyFont="1" applyBorder="1" applyAlignment="1">
      <alignment horizontal="center"/>
    </xf>
    <xf numFmtId="3" fontId="18" fillId="0" borderId="12" xfId="0" applyNumberFormat="1" applyFont="1" applyBorder="1"/>
    <xf numFmtId="3" fontId="0" fillId="0" borderId="12" xfId="0" applyNumberFormat="1" applyFont="1" applyBorder="1"/>
    <xf numFmtId="3" fontId="0" fillId="12" borderId="0" xfId="0" applyNumberFormat="1" applyFont="1" applyFill="1"/>
    <xf numFmtId="3" fontId="65" fillId="0" borderId="0" xfId="0" applyNumberFormat="1" applyFont="1"/>
    <xf numFmtId="3" fontId="65" fillId="0" borderId="12" xfId="0" applyNumberFormat="1" applyFont="1" applyBorder="1" applyAlignment="1">
      <alignment horizontal="center"/>
    </xf>
    <xf numFmtId="3" fontId="65" fillId="0" borderId="1" xfId="0" applyNumberFormat="1" applyFont="1" applyBorder="1"/>
    <xf numFmtId="3" fontId="65" fillId="0" borderId="8" xfId="0" applyNumberFormat="1" applyFont="1" applyBorder="1"/>
    <xf numFmtId="3" fontId="65" fillId="0" borderId="12" xfId="0" applyNumberFormat="1" applyFont="1" applyBorder="1"/>
    <xf numFmtId="3" fontId="0" fillId="0" borderId="1" xfId="0" applyNumberFormat="1" applyFont="1" applyBorder="1" applyAlignment="1">
      <alignment horizontal="center"/>
    </xf>
    <xf numFmtId="3" fontId="18" fillId="0" borderId="1" xfId="0" applyNumberFormat="1" applyFont="1" applyBorder="1"/>
    <xf numFmtId="3" fontId="0" fillId="0" borderId="1" xfId="0" applyNumberFormat="1" applyFont="1" applyBorder="1"/>
    <xf numFmtId="3" fontId="0" fillId="0" borderId="8" xfId="0" applyNumberFormat="1" applyFont="1" applyBorder="1"/>
    <xf numFmtId="3" fontId="65" fillId="4" borderId="0" xfId="0" applyNumberFormat="1" applyFont="1" applyFill="1" applyAlignment="1">
      <alignment horizontal="center"/>
    </xf>
    <xf numFmtId="3" fontId="65" fillId="4" borderId="0" xfId="0" applyNumberFormat="1" applyFont="1" applyFill="1"/>
    <xf numFmtId="3" fontId="0" fillId="4" borderId="23" xfId="0" applyNumberFormat="1" applyFont="1" applyFill="1" applyBorder="1"/>
    <xf numFmtId="3" fontId="0" fillId="4" borderId="0" xfId="0" applyNumberFormat="1" applyFont="1" applyFill="1" applyAlignment="1">
      <alignment horizontal="center"/>
    </xf>
    <xf numFmtId="3" fontId="65" fillId="4" borderId="23" xfId="0" applyNumberFormat="1" applyFont="1" applyFill="1" applyBorder="1"/>
    <xf numFmtId="187" fontId="0" fillId="0" borderId="8" xfId="0" applyNumberFormat="1" applyFont="1" applyBorder="1"/>
    <xf numFmtId="3" fontId="0" fillId="0" borderId="0" xfId="0" applyNumberFormat="1" applyFont="1" applyAlignment="1">
      <alignment horizontal="center"/>
    </xf>
    <xf numFmtId="3" fontId="0" fillId="0" borderId="28" xfId="0" applyNumberFormat="1" applyFont="1" applyBorder="1"/>
    <xf numFmtId="0" fontId="0" fillId="13" borderId="0" xfId="0" applyFill="1"/>
    <xf numFmtId="3" fontId="0" fillId="13" borderId="0" xfId="0" applyNumberFormat="1" applyFill="1"/>
    <xf numFmtId="0" fontId="3" fillId="13" borderId="0" xfId="0" applyFont="1" applyFill="1"/>
    <xf numFmtId="0" fontId="43" fillId="0" borderId="29" xfId="0" applyFont="1" applyFill="1" applyBorder="1" applyAlignment="1">
      <alignment horizontal="center" vertical="center"/>
    </xf>
    <xf numFmtId="0" fontId="43" fillId="0" borderId="13" xfId="0" applyFont="1" applyFill="1" applyBorder="1" applyAlignment="1">
      <alignment horizontal="center" vertical="center"/>
    </xf>
    <xf numFmtId="0" fontId="0" fillId="0" borderId="18" xfId="0" applyFill="1" applyBorder="1" applyAlignment="1">
      <alignment vertical="top"/>
    </xf>
    <xf numFmtId="0" fontId="66" fillId="0" borderId="0" xfId="0" applyFont="1"/>
    <xf numFmtId="168" fontId="0" fillId="0" borderId="0" xfId="1" applyNumberFormat="1" applyFont="1"/>
    <xf numFmtId="0" fontId="0" fillId="0" borderId="12" xfId="0" applyBorder="1"/>
    <xf numFmtId="3" fontId="0" fillId="0" borderId="12" xfId="0" applyNumberFormat="1" applyBorder="1"/>
    <xf numFmtId="3" fontId="0" fillId="0" borderId="31" xfId="0" applyNumberFormat="1" applyBorder="1"/>
    <xf numFmtId="4" fontId="3" fillId="2" borderId="0" xfId="0" applyNumberFormat="1" applyFont="1" applyFill="1"/>
    <xf numFmtId="179" fontId="3" fillId="2" borderId="0" xfId="0" applyNumberFormat="1" applyFont="1" applyFill="1"/>
    <xf numFmtId="164" fontId="3" fillId="2" borderId="0" xfId="4" applyFont="1" applyFill="1"/>
    <xf numFmtId="178" fontId="3" fillId="2" borderId="0" xfId="4" applyNumberFormat="1" applyFont="1" applyFill="1"/>
    <xf numFmtId="2" fontId="3" fillId="2" borderId="0" xfId="0" applyNumberFormat="1" applyFont="1" applyFill="1"/>
    <xf numFmtId="2" fontId="67" fillId="2" borderId="0" xfId="0" applyNumberFormat="1" applyFont="1" applyFill="1"/>
    <xf numFmtId="188" fontId="23" fillId="5" borderId="12" xfId="4" applyNumberFormat="1" applyFont="1" applyFill="1" applyBorder="1" applyAlignment="1">
      <alignment horizontal="center"/>
    </xf>
    <xf numFmtId="188" fontId="23" fillId="2" borderId="12" xfId="4" applyNumberFormat="1" applyFont="1" applyFill="1" applyBorder="1" applyAlignment="1">
      <alignment horizontal="center"/>
    </xf>
    <xf numFmtId="1" fontId="0" fillId="0" borderId="0" xfId="0" applyNumberFormat="1" applyAlignment="1">
      <alignment horizontal="center"/>
    </xf>
    <xf numFmtId="0" fontId="43" fillId="15" borderId="0" xfId="0" applyFont="1" applyFill="1"/>
    <xf numFmtId="0" fontId="68" fillId="15" borderId="0" xfId="0" applyFont="1" applyFill="1"/>
    <xf numFmtId="3" fontId="69" fillId="15" borderId="0" xfId="0" applyNumberFormat="1" applyFont="1" applyFill="1"/>
    <xf numFmtId="0" fontId="70" fillId="15" borderId="0" xfId="0" applyFont="1" applyFill="1"/>
    <xf numFmtId="3" fontId="71" fillId="15" borderId="0" xfId="0" applyNumberFormat="1" applyFont="1" applyFill="1"/>
    <xf numFmtId="179" fontId="69" fillId="15" borderId="0" xfId="0" applyNumberFormat="1" applyFont="1" applyFill="1"/>
    <xf numFmtId="0" fontId="69" fillId="15" borderId="0" xfId="0" applyFont="1" applyFill="1"/>
    <xf numFmtId="0" fontId="72" fillId="15" borderId="0" xfId="0" applyFont="1" applyFill="1"/>
    <xf numFmtId="0" fontId="2" fillId="0" borderId="0" xfId="0" applyFont="1" applyAlignment="1">
      <alignment wrapText="1"/>
    </xf>
    <xf numFmtId="0" fontId="0" fillId="0" borderId="0" xfId="0" applyFont="1" applyAlignment="1">
      <alignment horizontal="left" vertical="center"/>
    </xf>
    <xf numFmtId="0" fontId="0" fillId="7" borderId="0" xfId="0" applyFill="1"/>
    <xf numFmtId="3" fontId="0" fillId="7" borderId="0" xfId="0" applyNumberFormat="1" applyFill="1"/>
    <xf numFmtId="0" fontId="0" fillId="7" borderId="0" xfId="0" applyFill="1" applyAlignment="1">
      <alignment horizontal="left" vertical="top" wrapText="1"/>
    </xf>
    <xf numFmtId="0" fontId="23" fillId="13" borderId="12" xfId="6" applyFont="1" applyFill="1" applyBorder="1" applyAlignment="1">
      <alignment horizontal="center"/>
    </xf>
    <xf numFmtId="9" fontId="4" fillId="0" borderId="12" xfId="1" applyFont="1" applyFill="1" applyBorder="1" applyAlignment="1">
      <alignment horizontal="center"/>
    </xf>
    <xf numFmtId="3" fontId="4" fillId="0" borderId="12" xfId="6" applyNumberFormat="1" applyFill="1" applyBorder="1" applyAlignment="1">
      <alignment horizontal="center"/>
    </xf>
    <xf numFmtId="0" fontId="4" fillId="0" borderId="12" xfId="6" applyFill="1" applyBorder="1"/>
    <xf numFmtId="0" fontId="73" fillId="2" borderId="0" xfId="6" applyFont="1" applyFill="1" applyAlignment="1">
      <alignment horizontal="center"/>
    </xf>
    <xf numFmtId="0" fontId="4" fillId="2" borderId="0" xfId="6" applyFill="1"/>
    <xf numFmtId="9" fontId="4" fillId="2" borderId="0" xfId="1" applyFont="1" applyFill="1"/>
    <xf numFmtId="9" fontId="4" fillId="2" borderId="0" xfId="6" applyNumberFormat="1" applyFill="1"/>
    <xf numFmtId="2" fontId="6" fillId="8" borderId="0" xfId="7" applyNumberFormat="1" applyFont="1" applyFill="1"/>
    <xf numFmtId="0" fontId="70" fillId="2" borderId="0" xfId="0" applyFont="1" applyFill="1"/>
    <xf numFmtId="0" fontId="0" fillId="2" borderId="0" xfId="0" applyFill="1"/>
    <xf numFmtId="0" fontId="3" fillId="2" borderId="0" xfId="0" applyFont="1" applyFill="1"/>
    <xf numFmtId="9" fontId="3" fillId="0" borderId="0" xfId="0" applyNumberFormat="1" applyFont="1"/>
    <xf numFmtId="0" fontId="74" fillId="2" borderId="0" xfId="6" applyFont="1" applyFill="1"/>
    <xf numFmtId="0" fontId="20" fillId="14" borderId="0" xfId="6" applyFont="1" applyFill="1"/>
    <xf numFmtId="0" fontId="74" fillId="14" borderId="0" xfId="6" applyFont="1" applyFill="1"/>
    <xf numFmtId="0" fontId="75" fillId="0" borderId="0" xfId="6" applyFont="1"/>
    <xf numFmtId="0" fontId="75" fillId="2" borderId="0" xfId="6" applyFont="1" applyFill="1"/>
    <xf numFmtId="0" fontId="74" fillId="16" borderId="0" xfId="6" applyFont="1" applyFill="1"/>
    <xf numFmtId="0" fontId="4" fillId="16" borderId="0" xfId="6" applyFill="1"/>
    <xf numFmtId="167" fontId="6" fillId="0" borderId="0" xfId="5" applyNumberFormat="1" applyFont="1" applyFill="1" applyAlignment="1" applyProtection="1">
      <alignment horizontal="center" vertical="center" wrapText="1"/>
    </xf>
    <xf numFmtId="3" fontId="5" fillId="0" borderId="0" xfId="5" applyNumberFormat="1" applyFont="1" applyProtection="1"/>
    <xf numFmtId="0" fontId="70" fillId="6" borderId="0" xfId="0" applyFont="1" applyFill="1"/>
    <xf numFmtId="164" fontId="0" fillId="4" borderId="0" xfId="4" applyFont="1" applyFill="1"/>
    <xf numFmtId="14" fontId="3" fillId="0" borderId="0" xfId="0" applyNumberFormat="1" applyFont="1" applyAlignment="1">
      <alignment horizontal="center"/>
    </xf>
    <xf numFmtId="0" fontId="39" fillId="0" borderId="0" xfId="0" applyFont="1" applyAlignment="1">
      <alignment horizontal="right"/>
    </xf>
    <xf numFmtId="0" fontId="0" fillId="0" borderId="0" xfId="0" applyFill="1" applyAlignment="1">
      <alignment horizontal="left" vertical="top" wrapText="1"/>
    </xf>
    <xf numFmtId="0" fontId="0" fillId="0" borderId="0" xfId="0" applyFill="1" applyAlignment="1">
      <alignment vertical="top" wrapText="1"/>
    </xf>
    <xf numFmtId="0" fontId="10" fillId="0" borderId="0" xfId="0" applyFont="1" applyFill="1"/>
    <xf numFmtId="0" fontId="0" fillId="0" borderId="0" xfId="0" applyFont="1" applyFill="1" applyAlignment="1">
      <alignment horizontal="left" vertical="center"/>
    </xf>
    <xf numFmtId="0" fontId="0" fillId="0" borderId="0" xfId="0" applyFill="1" applyAlignment="1">
      <alignment horizontal="left"/>
    </xf>
    <xf numFmtId="0" fontId="29" fillId="0" borderId="0" xfId="0" applyFont="1" applyFill="1" applyAlignment="1">
      <alignment horizontal="left" vertical="center"/>
    </xf>
    <xf numFmtId="38" fontId="5" fillId="6" borderId="0" xfId="2" applyNumberFormat="1" applyFont="1" applyFill="1" applyBorder="1"/>
    <xf numFmtId="0" fontId="5" fillId="0" borderId="0" xfId="7" applyFont="1"/>
    <xf numFmtId="2" fontId="15" fillId="0" borderId="0" xfId="0" applyNumberFormat="1" applyFont="1" applyFill="1"/>
    <xf numFmtId="0" fontId="28" fillId="0" borderId="0" xfId="6" applyFont="1" applyBorder="1"/>
    <xf numFmtId="0" fontId="33" fillId="0" borderId="0" xfId="0" applyFont="1" applyFill="1" applyAlignment="1">
      <alignment vertical="top" wrapText="1"/>
    </xf>
    <xf numFmtId="3" fontId="67" fillId="16" borderId="0" xfId="0" applyNumberFormat="1" applyFont="1" applyFill="1"/>
    <xf numFmtId="0" fontId="25" fillId="12" borderId="0" xfId="6" applyFont="1" applyFill="1" applyAlignment="1">
      <alignment horizontal="center" vertical="top" wrapText="1"/>
    </xf>
    <xf numFmtId="0" fontId="0" fillId="4" borderId="0" xfId="0" applyFill="1" applyAlignment="1">
      <alignment horizontal="left" wrapText="1"/>
    </xf>
    <xf numFmtId="0" fontId="0" fillId="0" borderId="0" xfId="0" applyFill="1" applyAlignment="1">
      <alignment horizontal="left" vertical="top" wrapText="1"/>
    </xf>
    <xf numFmtId="0" fontId="0" fillId="4" borderId="0" xfId="0" applyFill="1" applyAlignment="1">
      <alignment horizontal="left" vertical="top" wrapText="1"/>
    </xf>
    <xf numFmtId="172" fontId="0" fillId="0" borderId="0" xfId="0" applyNumberFormat="1" applyFill="1" applyAlignment="1">
      <alignment horizontal="left" vertical="top" wrapText="1"/>
    </xf>
    <xf numFmtId="0" fontId="0" fillId="0" borderId="0" xfId="0" applyAlignment="1">
      <alignment horizontal="left" vertical="top" wrapText="1"/>
    </xf>
    <xf numFmtId="0" fontId="0" fillId="0" borderId="0" xfId="0" applyFont="1" applyAlignment="1">
      <alignment horizontal="left" vertical="top" wrapText="1"/>
    </xf>
    <xf numFmtId="0" fontId="15" fillId="0" borderId="0" xfId="0" applyFont="1" applyFill="1" applyAlignment="1">
      <alignment horizontal="left" vertical="top" wrapText="1"/>
    </xf>
    <xf numFmtId="0" fontId="0" fillId="0" borderId="7" xfId="0" applyBorder="1" applyAlignment="1">
      <alignment horizontal="left"/>
    </xf>
    <xf numFmtId="0" fontId="0" fillId="0" borderId="1" xfId="0" applyBorder="1" applyAlignment="1">
      <alignment horizontal="left"/>
    </xf>
    <xf numFmtId="0" fontId="0" fillId="0" borderId="8" xfId="0" applyBorder="1" applyAlignment="1">
      <alignment horizontal="left"/>
    </xf>
    <xf numFmtId="0" fontId="0" fillId="4" borderId="0" xfId="0" applyFill="1" applyAlignment="1">
      <alignment horizontal="center"/>
    </xf>
    <xf numFmtId="3" fontId="26" fillId="0" borderId="0" xfId="0" applyNumberFormat="1" applyFont="1" applyAlignment="1">
      <alignment horizontal="left" vertical="top" wrapText="1"/>
    </xf>
    <xf numFmtId="0" fontId="3" fillId="0" borderId="0" xfId="0" applyFont="1" applyAlignment="1">
      <alignment horizontal="left" vertical="top" wrapText="1"/>
    </xf>
    <xf numFmtId="0" fontId="0" fillId="0" borderId="0" xfId="0" applyFill="1" applyBorder="1" applyAlignment="1">
      <alignment horizontal="left" vertical="top" wrapText="1"/>
    </xf>
    <xf numFmtId="0" fontId="0" fillId="0" borderId="0" xfId="0" applyFill="1" applyAlignment="1">
      <alignment horizontal="left" wrapText="1"/>
    </xf>
    <xf numFmtId="3" fontId="18" fillId="11" borderId="1" xfId="0" applyNumberFormat="1" applyFont="1" applyFill="1" applyBorder="1" applyAlignment="1">
      <alignment horizontal="center"/>
    </xf>
    <xf numFmtId="3" fontId="0" fillId="11" borderId="1" xfId="0" applyNumberFormat="1" applyFont="1" applyFill="1" applyBorder="1" applyAlignment="1">
      <alignment horizontal="center"/>
    </xf>
    <xf numFmtId="0" fontId="15" fillId="0" borderId="0" xfId="0" applyFont="1" applyFill="1" applyAlignment="1">
      <alignment horizontal="left" vertical="top"/>
    </xf>
    <xf numFmtId="0" fontId="0" fillId="0" borderId="11" xfId="0" applyFill="1" applyBorder="1" applyAlignment="1">
      <alignment horizontal="left" vertical="center" wrapText="1"/>
    </xf>
    <xf numFmtId="0" fontId="0" fillId="0" borderId="30" xfId="0" applyFill="1" applyBorder="1" applyAlignment="1">
      <alignment horizontal="left" vertical="center" wrapText="1"/>
    </xf>
    <xf numFmtId="0" fontId="0" fillId="0" borderId="14" xfId="0" applyFill="1" applyBorder="1" applyAlignment="1">
      <alignment horizontal="left" vertical="center" wrapText="1"/>
    </xf>
    <xf numFmtId="0" fontId="0" fillId="0" borderId="15" xfId="0" applyFill="1" applyBorder="1" applyAlignment="1">
      <alignment horizontal="left" vertical="center" wrapText="1"/>
    </xf>
    <xf numFmtId="0" fontId="0" fillId="0" borderId="5" xfId="0" applyFill="1" applyBorder="1" applyAlignment="1">
      <alignment horizontal="left" vertical="center" wrapText="1"/>
    </xf>
    <xf numFmtId="0" fontId="0" fillId="0" borderId="19" xfId="0" applyFill="1" applyBorder="1" applyAlignment="1">
      <alignment horizontal="left" vertical="center" wrapText="1"/>
    </xf>
    <xf numFmtId="0" fontId="0" fillId="0" borderId="0" xfId="0" applyFill="1" applyBorder="1" applyAlignment="1">
      <alignment horizontal="left" vertical="center"/>
    </xf>
    <xf numFmtId="3" fontId="0" fillId="0" borderId="0" xfId="0" applyNumberFormat="1" applyFont="1" applyFill="1" applyAlignment="1">
      <alignment horizontal="left" vertical="top" wrapText="1"/>
    </xf>
    <xf numFmtId="3" fontId="0" fillId="0" borderId="0" xfId="0" applyNumberFormat="1" applyFont="1" applyAlignment="1">
      <alignment vertical="top" wrapText="1"/>
    </xf>
    <xf numFmtId="3" fontId="0" fillId="0" borderId="0" xfId="0" applyNumberFormat="1" applyFont="1" applyFill="1" applyAlignment="1">
      <alignment vertical="top" wrapText="1"/>
    </xf>
    <xf numFmtId="3" fontId="0" fillId="0" borderId="0" xfId="0" applyNumberFormat="1" applyFont="1" applyAlignment="1">
      <alignment horizontal="left" vertical="top" wrapText="1"/>
    </xf>
    <xf numFmtId="0" fontId="3" fillId="0" borderId="0" xfId="0" applyFont="1" applyAlignment="1">
      <alignment horizontal="center" wrapText="1"/>
    </xf>
    <xf numFmtId="3" fontId="12" fillId="0" borderId="0" xfId="0" applyNumberFormat="1" applyFont="1" applyAlignment="1">
      <alignment horizontal="center" wrapText="1"/>
    </xf>
    <xf numFmtId="0" fontId="0" fillId="7" borderId="0" xfId="0" applyFont="1" applyFill="1" applyAlignment="1">
      <alignment horizontal="left" vertical="top" wrapText="1"/>
    </xf>
    <xf numFmtId="183" fontId="51" fillId="0" borderId="1" xfId="5" applyNumberFormat="1" applyFont="1" applyFill="1" applyBorder="1" applyAlignment="1" applyProtection="1">
      <alignment horizontal="center" vertical="top"/>
    </xf>
  </cellXfs>
  <cellStyles count="27">
    <cellStyle name="Beløb" xfId="9" xr:uid="{00000000-0005-0000-0000-000000000000}"/>
    <cellStyle name="Beløb (negative)" xfId="10" xr:uid="{00000000-0005-0000-0000-000001000000}"/>
    <cellStyle name="Beløb 1000" xfId="11" xr:uid="{00000000-0005-0000-0000-000002000000}"/>
    <cellStyle name="Beløb 1000 (negative)" xfId="12" xr:uid="{00000000-0005-0000-0000-000003000000}"/>
    <cellStyle name="Calc Currency (0)" xfId="13" xr:uid="{00000000-0005-0000-0000-000004000000}"/>
    <cellStyle name="Column_Title" xfId="14" xr:uid="{00000000-0005-0000-0000-000005000000}"/>
    <cellStyle name="Decimal" xfId="15" xr:uid="{00000000-0005-0000-0000-000007000000}"/>
    <cellStyle name="Decimal (negative)" xfId="16" xr:uid="{00000000-0005-0000-0000-000008000000}"/>
    <cellStyle name="Header1" xfId="17" xr:uid="{00000000-0005-0000-0000-000009000000}"/>
    <cellStyle name="Header2" xfId="18" xr:uid="{00000000-0005-0000-0000-00000A000000}"/>
    <cellStyle name="Normal 2" xfId="3" xr:uid="{00000000-0005-0000-0000-00000C000000}"/>
    <cellStyle name="Normal 2 2" xfId="6" xr:uid="{00000000-0005-0000-0000-00000D000000}"/>
    <cellStyle name="Normal 3" xfId="2" xr:uid="{00000000-0005-0000-0000-00000E000000}"/>
    <cellStyle name="Normal 4" xfId="8" xr:uid="{00000000-0005-0000-0000-00000F000000}"/>
    <cellStyle name="Normal_FYRN1293" xfId="26" xr:uid="{00000000-0005-0000-0000-000010000000}"/>
    <cellStyle name="Normal_FYRNAR93" xfId="5" xr:uid="{00000000-0005-0000-0000-000011000000}"/>
    <cellStyle name="Normal_VSK_HEDINN-S" xfId="7" xr:uid="{00000000-0005-0000-0000-000012000000}"/>
    <cellStyle name="Overskrift" xfId="19" xr:uid="{00000000-0005-0000-0000-000013000000}"/>
    <cellStyle name="Prósent" xfId="1" builtinId="5"/>
    <cellStyle name="Times rmn" xfId="20" xr:uid="{00000000-0005-0000-0000-000015000000}"/>
    <cellStyle name="Total (negative)" xfId="22" xr:uid="{00000000-0005-0000-0000-000016000000}"/>
    <cellStyle name="Total 1000" xfId="23" xr:uid="{00000000-0005-0000-0000-000017000000}"/>
    <cellStyle name="Total 1000 (negative)" xfId="24" xr:uid="{00000000-0005-0000-0000-000018000000}"/>
    <cellStyle name="Total 2" xfId="21" xr:uid="{00000000-0005-0000-0000-000019000000}"/>
    <cellStyle name="Tölur" xfId="25" xr:uid="{00000000-0005-0000-0000-00001A000000}"/>
    <cellStyle name="Venjulegt" xfId="0" builtinId="0"/>
    <cellStyle name="Þúsundaskiltákn [0]" xfId="4" builtinId="6"/>
  </cellStyles>
  <dxfs count="0"/>
  <tableStyles count="0" defaultTableStyle="TableStyleMedium2" defaultPivotStyle="PivotStyleLight16"/>
  <colors>
    <mruColors>
      <color rgb="FFFF3300"/>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8.xml"/><Relationship Id="rId3" Type="http://schemas.openxmlformats.org/officeDocument/2006/relationships/worksheet" Target="worksheets/sheet3.xml"/><Relationship Id="rId21" Type="http://schemas.openxmlformats.org/officeDocument/2006/relationships/externalLink" Target="externalLinks/externalLink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2.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5.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externalLink" Target="externalLinks/externalLink1.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4.xml"/><Relationship Id="rId27" Type="http://schemas.openxmlformats.org/officeDocument/2006/relationships/externalLink" Target="externalLinks/externalLink9.xml"/><Relationship Id="rId30"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10</xdr:col>
      <xdr:colOff>633413</xdr:colOff>
      <xdr:row>10</xdr:row>
      <xdr:rowOff>214312</xdr:rowOff>
    </xdr:from>
    <xdr:ext cx="6262687" cy="1344855"/>
    <xdr:sp macro="" textlink="">
      <xdr:nvSpPr>
        <xdr:cNvPr id="2" name="TextBox 1">
          <a:extLst>
            <a:ext uri="{FF2B5EF4-FFF2-40B4-BE49-F238E27FC236}">
              <a16:creationId xmlns:a16="http://schemas.microsoft.com/office/drawing/2014/main" id="{C4BCF4E4-CAC0-42CC-B1F7-570D89AD5727}"/>
            </a:ext>
          </a:extLst>
        </xdr:cNvPr>
        <xdr:cNvSpPr txBox="1"/>
      </xdr:nvSpPr>
      <xdr:spPr>
        <a:xfrm>
          <a:off x="7110413" y="2024062"/>
          <a:ext cx="6262687" cy="1344855"/>
        </a:xfrm>
        <a:prstGeom prst="rect">
          <a:avLst/>
        </a:prstGeom>
        <a:solidFill>
          <a:schemeClr val="accent5">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is-IS" sz="1400" b="1"/>
            <a:t>Svar við lið 1)</a:t>
          </a:r>
          <a:endParaRPr lang="is-IS" sz="1100" b="1"/>
        </a:p>
        <a:p>
          <a:endParaRPr lang="is-IS" sz="1100"/>
        </a:p>
        <a:p>
          <a:endParaRPr lang="is-IS" sz="1100"/>
        </a:p>
        <a:p>
          <a:endParaRPr lang="is-IS" sz="1100"/>
        </a:p>
        <a:p>
          <a:endParaRPr lang="is-IS" sz="1100"/>
        </a:p>
        <a:p>
          <a:endParaRPr lang="is-IS" sz="1100"/>
        </a:p>
        <a:p>
          <a:endParaRPr lang="is-IS" sz="1100"/>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81915</xdr:colOff>
      <xdr:row>12</xdr:row>
      <xdr:rowOff>4763</xdr:rowOff>
    </xdr:from>
    <xdr:to>
      <xdr:col>12</xdr:col>
      <xdr:colOff>534353</xdr:colOff>
      <xdr:row>19</xdr:row>
      <xdr:rowOff>138112</xdr:rowOff>
    </xdr:to>
    <xdr:sp macro="" textlink="">
      <xdr:nvSpPr>
        <xdr:cNvPr id="2" name="Text Box 1">
          <a:extLst>
            <a:ext uri="{FF2B5EF4-FFF2-40B4-BE49-F238E27FC236}">
              <a16:creationId xmlns:a16="http://schemas.microsoft.com/office/drawing/2014/main" id="{2972683E-EF73-45F6-8532-1ED4C3B7BA78}"/>
            </a:ext>
          </a:extLst>
        </xdr:cNvPr>
        <xdr:cNvSpPr txBox="1">
          <a:spLocks noChangeArrowheads="1"/>
        </xdr:cNvSpPr>
      </xdr:nvSpPr>
      <xdr:spPr bwMode="auto">
        <a:xfrm>
          <a:off x="81915" y="2314576"/>
          <a:ext cx="10701338" cy="1733549"/>
        </a:xfrm>
        <a:prstGeom prst="rect">
          <a:avLst/>
        </a:prstGeom>
        <a:solidFill>
          <a:schemeClr val="bg1"/>
        </a:solidFill>
        <a:ln>
          <a:noFill/>
        </a:ln>
      </xdr:spPr>
      <xdr:txBody>
        <a:bodyPr vertOverflow="clip" wrap="square" lIns="54864" tIns="41148" rIns="0" bIns="0" anchor="t" upright="1"/>
        <a:lstStyle/>
        <a:p>
          <a:pPr algn="l" rtl="0">
            <a:defRPr sz="1000"/>
          </a:pPr>
          <a:r>
            <a:rPr lang="is-IS" sz="1200" b="0" i="0" u="none" strike="noStrike" baseline="0">
              <a:solidFill>
                <a:srgbClr val="000000"/>
              </a:solidFill>
              <a:latin typeface="Calibri" panose="020F0502020204030204" pitchFamily="34" charset="0"/>
              <a:cs typeface="Calibri" panose="020F0502020204030204" pitchFamily="34" charset="0"/>
            </a:rPr>
            <a:t>Fyrirtækið XYZ hf. var stofnað 1. jan. 2018 með hlutafjárframlag í upphafi 50.000.000 kr. Á árinu var selt fyrir 280.000.000 kr. Staðgreitt var 10% af heildarsölu og 90% var út í reikning, viðskiptakröfur. Forstjórinn áætlar að 1,5% af heildarsölu í gegnum viðskiptareikninga tapist og leggur til að færð verið óbein afskrift vegna viðskiptakrafna. Á árinu 2018, fór einn viðskiptavinur í gjaldþrot. Hann hafði keypt fyrir 750.000 kr. og ekkert fékkst greitt. Viðskiptavinir greiddu alls 210.000.000 kr. af sínum viðskiptakröfun á árinu 2018. Ekki þarf að taka tillit til virðisaukaskatts eða annara skatta. </a:t>
          </a:r>
        </a:p>
        <a:p>
          <a:pPr algn="l" rtl="0">
            <a:defRPr sz="1000"/>
          </a:pPr>
          <a:r>
            <a:rPr lang="is-IS" sz="1200" b="1" i="0" u="none" strike="noStrike" baseline="0">
              <a:solidFill>
                <a:srgbClr val="000000"/>
              </a:solidFill>
              <a:latin typeface="Calibri" panose="020F0502020204030204" pitchFamily="34" charset="0"/>
              <a:cs typeface="Calibri" panose="020F0502020204030204" pitchFamily="34" charset="0"/>
            </a:rPr>
            <a:t>Ykkar verkefni er að færa ofangreind viðskipti á T-reikninga fyrir árið 2018. </a:t>
          </a:r>
        </a:p>
        <a:p>
          <a:pPr algn="l" rtl="0">
            <a:defRPr sz="1000"/>
          </a:pPr>
          <a:r>
            <a:rPr lang="is-IS" sz="1200" b="1" i="0" u="none" strike="noStrike" baseline="0">
              <a:solidFill>
                <a:srgbClr val="000000"/>
              </a:solidFill>
              <a:latin typeface="Calibri" panose="020F0502020204030204" pitchFamily="34" charset="0"/>
              <a:cs typeface="Calibri" panose="020F0502020204030204" pitchFamily="34" charset="0"/>
            </a:rPr>
            <a:t>Skrifið fyrir ofan hvern T-reikning hvort um er að efnahagsreikning eða rekstrarreikning. Einnig þarf að koma fram heiti á bókhaldsreikningi, nafnið þarf að lýsa hvort um er að ræða eign/skuld/tekjur/kostnað. (t.d. sjóður    eða    sjóður/eign  eða tryggingar/ kostnaður )</a:t>
          </a:r>
        </a:p>
        <a:p>
          <a:pPr algn="l" rtl="0">
            <a:defRPr sz="1000"/>
          </a:pPr>
          <a:r>
            <a:rPr lang="is-IS" sz="1200" b="1" i="0" u="none" strike="noStrike" baseline="0">
              <a:solidFill>
                <a:srgbClr val="000000"/>
              </a:solidFill>
              <a:latin typeface="Calibri" panose="020F0502020204030204" pitchFamily="34" charset="0"/>
              <a:cs typeface="Calibri" panose="020F0502020204030204" pitchFamily="34" charset="0"/>
            </a:rPr>
            <a:t>Reiknið og tilgreinið hvaða fjárhæð mun birtast í efnahagsreikningi sem viðskiptakröfur þann 31.12. </a:t>
          </a:r>
        </a:p>
      </xdr:txBody>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1994-skatt"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afrit%20agust%202012\N&#225;mskei&#240;\VB%202011\Skilaverkefni%202008%20lausn.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R:\F&#233;l&#246;g\Grunnur\2010\Grunnur%20201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Excel\ISFELAG\SKATTUR.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GG\SIGLA\SIGLA94.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S:\AT\husaskjol1297.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S:\GF\IMGALL\1995\IMGALL94.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Users\jlarusson\Documents\Vi&#240;urkenndur%20b&#243;kari\Vi&#240;urkenndir%20b&#243;karar%20raunh&#230;f%20verkefni%20fr&#225;%20hjalta\Desember%202012\Lausn%20pr&#243;f%20raunh&#230;ft%20verkefni%20desember%202012.xlsx" TargetMode="External"/></Relationships>
</file>

<file path=xl/externalLinks/_rels/externalLink9.xml.rels><?xml version="1.0" encoding="UTF-8" standalone="yes"?>
<Relationships xmlns="http://schemas.openxmlformats.org/package/2006/relationships"><Relationship Id="rId1" Type="http://schemas.microsoft.com/office/2006/relationships/xlExternalLinkPath/xlPathMissing" Target="Worksheet%20in%202210%20&#193;rsreikningur%20samst&#230;&#240;u%2031.12.200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994-skatt"/>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gsetning"/>
      <sheetName val="Ársreikningur"/>
      <sheetName val="Prófjöfnuður"/>
      <sheetName val="Sheet1"/>
    </sheetNames>
    <sheetDataSet>
      <sheetData sheetId="0">
        <row r="11">
          <cell r="B11">
            <v>2008</v>
          </cell>
        </row>
        <row r="12">
          <cell r="B12">
            <v>2007</v>
          </cell>
        </row>
      </sheetData>
      <sheetData sheetId="1"/>
      <sheetData sheetId="2"/>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ápa"/>
      <sheetName val="Efnisyfirlit"/>
      <sheetName val="Áritun"/>
      <sheetName val="Skýrsla stjórnar"/>
      <sheetName val="Rekstur"/>
      <sheetName val="Efnah.-eign"/>
      <sheetName val="Efnah.-skuld"/>
      <sheetName val="Sjóðstreymi"/>
      <sheetName val="Skýringar"/>
      <sheetName val="Sundurliðanir"/>
      <sheetName val="Skattstofnablað"/>
      <sheetName val="Afstemming vsk"/>
      <sheetName val="Vsk"/>
      <sheetName val="Rsk 10.26 2"/>
      <sheetName val="RSK 10.26"/>
      <sheetName val="Skattal. fyrningar"/>
      <sheetName val="Lánayfirlit"/>
      <sheetName val="Fylgiskjal"/>
      <sheetName val="Tékkar."/>
      <sheetName val="Viðsk.kröfur"/>
      <sheetName val="Ógr. reikn."/>
      <sheetName val="Kreditkort"/>
      <sheetName val="Ógr. laun"/>
      <sheetName val="ff. gr. laun"/>
      <sheetName val="Ógr. stgr."/>
      <sheetName val="Lífeyrissj. gjöld"/>
      <sheetName val="Félagsgjöld"/>
      <sheetName val="Ógr. staðgreiðsla"/>
      <sheetName val="Ógr. trygg.gjald"/>
      <sheetName val="Samþ. víxlar"/>
      <sheetName val="Gagnagrunnur"/>
      <sheetName val="Dagsetning lá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row r="13">
          <cell r="C13" t="str">
            <v>31.12 2010</v>
          </cell>
        </row>
      </sheetData>
      <sheetData sheetId="31">
        <row r="8">
          <cell r="B8">
            <v>2010</v>
          </cell>
        </row>
        <row r="10">
          <cell r="B10" t="str">
            <v>31.12 2010</v>
          </cell>
        </row>
        <row r="11">
          <cell r="B11" t="str">
            <v>31.12 2009</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994-skatt"/>
      <sheetName val="Ár 1995"/>
      <sheetName val="Tryggingagj.96"/>
      <sheetName val="Laun 96"/>
      <sheetName val="GRUNNUR"/>
    </sheetNames>
    <sheetDataSet>
      <sheetData sheetId="0"/>
      <sheetData sheetId="1"/>
      <sheetData sheetId="2"/>
      <sheetData sheetId="3"/>
      <sheetData sheetId="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UNNUR"/>
    </sheetNames>
    <sheetDataSet>
      <sheetData sheetId="0">
        <row r="3">
          <cell r="C3" t="str">
            <v>Sigla hf</v>
          </cell>
        </row>
        <row r="5">
          <cell r="E5">
            <v>34699</v>
          </cell>
        </row>
        <row r="8">
          <cell r="E8">
            <v>195.5</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KEFN1997"/>
      <sheetName val="SUNDURL1997"/>
      <sheetName val="VINNUBAL97"/>
      <sheetName val="LOKAF97"/>
      <sheetName val="Sjstr.97"/>
      <sheetName val="Fyrnsk"/>
      <sheetName val="Hlutafjárloforð"/>
      <sheetName val="Skattstofn"/>
      <sheetName val="4.02"/>
      <sheetName val="Lánayfirlit"/>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fst. vsk."/>
      <sheetName val="VBF-frávik"/>
      <sheetName val="VBF 1993"/>
      <sheetName val="SKATTSTO"/>
      <sheetName val="Sjstr94"/>
      <sheetName val="Innskattur 1994"/>
      <sheetName val="Fyrnsk."/>
    </sheetNames>
    <sheetDataSet>
      <sheetData sheetId="0"/>
      <sheetData sheetId="1"/>
      <sheetData sheetId="2"/>
      <sheetData sheetId="3"/>
      <sheetData sheetId="4"/>
      <sheetData sheetId="5"/>
      <sheetData sheetId="6"/>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rkefni 1"/>
      <sheetName val="Verkefni 2"/>
      <sheetName val="Verkefni 3"/>
      <sheetName val="Verkefni 4"/>
      <sheetName val="Verkefni 4 a"/>
      <sheetName val="Verkefni 5"/>
      <sheetName val="Verkefni 6"/>
      <sheetName val="7a"/>
      <sheetName val="7b"/>
      <sheetName val="7c"/>
      <sheetName val="7d"/>
      <sheetName val="Ársreikningur 8"/>
      <sheetName val="Aðalbók 8"/>
      <sheetName val="Fyrningaskrá 8"/>
      <sheetName val="Útreikningar 8"/>
    </sheetNames>
    <sheetDataSet>
      <sheetData sheetId="0" refreshError="1"/>
      <sheetData sheetId="1" refreshError="1"/>
      <sheetData sheetId="2" refreshError="1"/>
      <sheetData sheetId="3" refreshError="1"/>
      <sheetData sheetId="4">
        <row r="19">
          <cell r="C19">
            <v>5450000</v>
          </cell>
        </row>
        <row r="23">
          <cell r="C23">
            <v>6850000</v>
          </cell>
        </row>
        <row r="27">
          <cell r="C27">
            <v>4550000</v>
          </cell>
        </row>
        <row r="31">
          <cell r="C31">
            <v>8650000</v>
          </cell>
        </row>
        <row r="35">
          <cell r="C35">
            <v>6000000</v>
          </cell>
        </row>
        <row r="39">
          <cell r="C39">
            <v>7560000</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gsetning"/>
      <sheetName val="Ársreikningur"/>
      <sheetName val="móðurf. q."/>
      <sheetName val="RR m.aukadálk"/>
      <sheetName val="RR m.aukadálk. enskur"/>
      <sheetName val="Ársreikningur "/>
      <sheetName val="Ársreikn. enskur "/>
      <sheetName val="Eigið fé"/>
      <sheetName val="Equity"/>
      <sheetName val="Skýringar"/>
      <sheetName val="Skýringar á ensku"/>
      <sheetName val="Svæði"/>
      <sheetName val="Segment"/>
      <sheetName val="Sundurliðanir"/>
      <sheetName val="Sjóðstr. 1. dálkur"/>
      <sheetName val="Sjstr. 1. d. enskt"/>
      <sheetName val="Afstemming við TB"/>
      <sheetName val="Chart1"/>
      <sheetName val="Ársreikningur ISK"/>
    </sheetNames>
    <sheetDataSet>
      <sheetData sheetId="0">
        <row r="19">
          <cell r="B19" t="str">
            <v>1.1.-31.12.2005</v>
          </cell>
        </row>
        <row r="20">
          <cell r="B20" t="str">
            <v>1.1.-31.12.2004</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efreshError="1"/>
      <sheetData sheetId="18"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B1:P28"/>
  <sheetViews>
    <sheetView tabSelected="1" zoomScaleNormal="100" workbookViewId="0">
      <selection activeCell="J15" sqref="J15"/>
    </sheetView>
  </sheetViews>
  <sheetFormatPr defaultColWidth="9.140625" defaultRowHeight="15"/>
  <cols>
    <col min="1" max="1" width="9.140625" style="74"/>
    <col min="2" max="2" width="16.28515625" style="74" customWidth="1"/>
    <col min="3" max="3" width="10.28515625" style="74" customWidth="1"/>
    <col min="4" max="4" width="13.7109375" style="74" customWidth="1"/>
    <col min="5" max="5" width="9.140625" style="74"/>
    <col min="6" max="6" width="13.85546875" style="74" customWidth="1"/>
    <col min="7" max="7" width="17.85546875" style="74" customWidth="1"/>
    <col min="8" max="8" width="12.42578125" style="74" customWidth="1"/>
    <col min="10" max="13" width="16" style="74" customWidth="1"/>
    <col min="14" max="16384" width="9.140625" style="74"/>
  </cols>
  <sheetData>
    <row r="1" spans="2:16" s="541" customFormat="1" ht="23.25">
      <c r="B1" s="539" t="s">
        <v>607</v>
      </c>
      <c r="C1" s="540"/>
      <c r="D1" s="539" t="s">
        <v>610</v>
      </c>
      <c r="E1" s="539" t="s">
        <v>608</v>
      </c>
      <c r="F1" s="540"/>
      <c r="G1" s="538" t="s">
        <v>645</v>
      </c>
      <c r="H1" s="538"/>
      <c r="I1" s="534"/>
      <c r="J1" s="538"/>
      <c r="K1" s="542"/>
      <c r="L1" s="542"/>
      <c r="M1" s="542"/>
      <c r="N1" s="542"/>
      <c r="O1" s="542"/>
      <c r="P1" s="542"/>
    </row>
    <row r="2" spans="2:16" ht="22.5" customHeight="1">
      <c r="B2" s="543" t="s">
        <v>646</v>
      </c>
      <c r="C2" s="544"/>
      <c r="G2" s="538" t="s">
        <v>644</v>
      </c>
      <c r="H2" s="530"/>
      <c r="I2" s="535"/>
      <c r="J2" s="530"/>
      <c r="K2" s="530"/>
      <c r="L2" s="530"/>
      <c r="M2" s="530"/>
      <c r="N2" s="530"/>
      <c r="O2" s="530"/>
      <c r="P2" s="530"/>
    </row>
    <row r="3" spans="2:16" ht="35.25">
      <c r="F3" s="530"/>
      <c r="G3" s="529" t="s">
        <v>609</v>
      </c>
      <c r="H3" s="530"/>
    </row>
    <row r="5" spans="2:16">
      <c r="B5" s="461"/>
      <c r="C5" s="459"/>
      <c r="D5" s="461"/>
      <c r="E5" s="459"/>
      <c r="F5" s="525"/>
    </row>
    <row r="6" spans="2:16">
      <c r="B6" s="461"/>
      <c r="C6" s="459" t="s">
        <v>515</v>
      </c>
      <c r="D6" s="461" t="s">
        <v>196</v>
      </c>
      <c r="E6" s="459" t="s">
        <v>511</v>
      </c>
      <c r="F6" s="525" t="s">
        <v>510</v>
      </c>
    </row>
    <row r="7" spans="2:16">
      <c r="B7" s="461" t="s">
        <v>197</v>
      </c>
      <c r="C7" s="459" t="s">
        <v>516</v>
      </c>
      <c r="D7" s="509">
        <f>+'V1 krossar 12%'!D12</f>
        <v>0</v>
      </c>
      <c r="E7" s="460">
        <v>36</v>
      </c>
      <c r="F7" s="463">
        <f t="shared" ref="F7:F19" si="0">+E7/$E$20</f>
        <v>0.12</v>
      </c>
      <c r="G7" s="74" t="s">
        <v>508</v>
      </c>
      <c r="L7" s="75"/>
    </row>
    <row r="8" spans="2:16" ht="14.25" customHeight="1">
      <c r="B8" s="461" t="s">
        <v>199</v>
      </c>
      <c r="C8" s="459" t="s">
        <v>517</v>
      </c>
      <c r="D8" s="509">
        <f>+'V2 Skattframtal 6%'!D10</f>
        <v>0</v>
      </c>
      <c r="E8" s="460">
        <v>18</v>
      </c>
      <c r="F8" s="463">
        <f t="shared" si="0"/>
        <v>0.06</v>
      </c>
      <c r="G8" s="74" t="s">
        <v>509</v>
      </c>
      <c r="J8" s="563" t="s">
        <v>198</v>
      </c>
      <c r="K8" s="563"/>
      <c r="L8" s="563"/>
      <c r="M8" s="563"/>
    </row>
    <row r="9" spans="2:16" ht="14.25" customHeight="1">
      <c r="B9" s="461" t="s">
        <v>200</v>
      </c>
      <c r="C9" s="459" t="s">
        <v>518</v>
      </c>
      <c r="D9" s="509">
        <f>+'V3 tekjuskattsst 15%'!H20</f>
        <v>0</v>
      </c>
      <c r="E9" s="460">
        <v>45</v>
      </c>
      <c r="F9" s="463">
        <f t="shared" si="0"/>
        <v>0.15</v>
      </c>
      <c r="G9" s="74" t="s">
        <v>46</v>
      </c>
      <c r="J9" s="563"/>
      <c r="K9" s="563"/>
      <c r="L9" s="563"/>
      <c r="M9" s="563"/>
    </row>
    <row r="10" spans="2:16" ht="14.25" customHeight="1">
      <c r="B10" s="461" t="s">
        <v>603</v>
      </c>
      <c r="C10" s="459" t="s">
        <v>643</v>
      </c>
      <c r="D10" s="509">
        <f>+'V4A VSK 7%'!D12</f>
        <v>0</v>
      </c>
      <c r="E10" s="527">
        <v>21</v>
      </c>
      <c r="F10" s="526">
        <f t="shared" si="0"/>
        <v>7.0000000000000007E-2</v>
      </c>
      <c r="G10" s="74" t="s">
        <v>276</v>
      </c>
      <c r="J10" s="563"/>
      <c r="K10" s="563"/>
      <c r="L10" s="563"/>
      <c r="M10" s="563"/>
    </row>
    <row r="11" spans="2:16" ht="14.25" customHeight="1">
      <c r="B11" s="461" t="s">
        <v>604</v>
      </c>
      <c r="C11" s="459" t="s">
        <v>642</v>
      </c>
      <c r="D11" s="509">
        <f>+'V4B VSK 3%'!D9</f>
        <v>0</v>
      </c>
      <c r="E11" s="527">
        <v>9</v>
      </c>
      <c r="F11" s="526">
        <f t="shared" si="0"/>
        <v>0.03</v>
      </c>
      <c r="G11" s="74" t="s">
        <v>276</v>
      </c>
      <c r="J11" s="563"/>
      <c r="K11" s="563"/>
      <c r="L11" s="563"/>
      <c r="M11" s="563"/>
    </row>
    <row r="12" spans="2:16">
      <c r="B12" s="461" t="s">
        <v>201</v>
      </c>
      <c r="C12" s="459" t="s">
        <v>565</v>
      </c>
      <c r="D12" s="509">
        <f>+'V5 Laun 9%'!F11</f>
        <v>8</v>
      </c>
      <c r="E12" s="460">
        <v>27</v>
      </c>
      <c r="F12" s="463">
        <f t="shared" si="0"/>
        <v>0.09</v>
      </c>
      <c r="G12" s="74" t="s">
        <v>512</v>
      </c>
      <c r="L12" s="75"/>
    </row>
    <row r="13" spans="2:16">
      <c r="B13" s="461" t="s">
        <v>202</v>
      </c>
      <c r="C13" s="459" t="s">
        <v>566</v>
      </c>
      <c r="D13" s="509">
        <f>+'V6 kennitölur 5% '!F6</f>
        <v>0</v>
      </c>
      <c r="E13" s="460">
        <v>15</v>
      </c>
      <c r="F13" s="463">
        <f t="shared" si="0"/>
        <v>0.05</v>
      </c>
      <c r="G13" s="74" t="s">
        <v>171</v>
      </c>
      <c r="L13" s="75"/>
    </row>
    <row r="14" spans="2:16">
      <c r="B14" s="461" t="s">
        <v>605</v>
      </c>
      <c r="C14" s="459" t="s">
        <v>641</v>
      </c>
      <c r="D14" s="509">
        <f>+'V7A Afstemming 4%'!G7</f>
        <v>0</v>
      </c>
      <c r="E14" s="527">
        <v>12</v>
      </c>
      <c r="F14" s="526">
        <f t="shared" si="0"/>
        <v>0.04</v>
      </c>
      <c r="G14" s="74" t="s">
        <v>513</v>
      </c>
      <c r="L14" s="75"/>
    </row>
    <row r="15" spans="2:16">
      <c r="B15" s="461" t="s">
        <v>606</v>
      </c>
      <c r="C15" s="459" t="s">
        <v>640</v>
      </c>
      <c r="D15" s="509">
        <f>+'V7B Afstemming 3%'!F10</f>
        <v>0</v>
      </c>
      <c r="E15" s="527">
        <v>9</v>
      </c>
      <c r="F15" s="526">
        <f t="shared" si="0"/>
        <v>0.03</v>
      </c>
      <c r="G15" s="74" t="s">
        <v>513</v>
      </c>
      <c r="J15" s="530" t="s">
        <v>627</v>
      </c>
      <c r="K15" s="530"/>
      <c r="L15" s="531"/>
      <c r="M15" s="530"/>
      <c r="N15" s="530"/>
      <c r="O15" s="530"/>
      <c r="P15" s="530"/>
    </row>
    <row r="16" spans="2:16">
      <c r="B16" s="528" t="s">
        <v>203</v>
      </c>
      <c r="C16" s="462" t="s">
        <v>567</v>
      </c>
      <c r="D16" s="509">
        <f>+'V8 Excel 9%'!B2+'V8 Excel 9%'!B3</f>
        <v>3</v>
      </c>
      <c r="E16" s="460">
        <v>9</v>
      </c>
      <c r="F16" s="526">
        <f t="shared" si="0"/>
        <v>0.03</v>
      </c>
      <c r="G16" s="74" t="s">
        <v>514</v>
      </c>
      <c r="J16" s="530" t="s">
        <v>628</v>
      </c>
      <c r="K16" s="530"/>
      <c r="L16" s="531"/>
      <c r="M16" s="530"/>
      <c r="N16" s="530"/>
      <c r="O16" s="530"/>
      <c r="P16" s="530"/>
    </row>
    <row r="17" spans="2:16">
      <c r="B17" s="528" t="s">
        <v>204</v>
      </c>
      <c r="C17" s="462" t="s">
        <v>568</v>
      </c>
      <c r="D17" s="509">
        <f>+'V8 Excel 9%'!B4+'V8 Excel 9%'!B5</f>
        <v>3</v>
      </c>
      <c r="E17" s="460">
        <v>9</v>
      </c>
      <c r="F17" s="526">
        <f t="shared" si="0"/>
        <v>0.03</v>
      </c>
      <c r="G17" s="74" t="s">
        <v>514</v>
      </c>
      <c r="J17" s="530" t="s">
        <v>629</v>
      </c>
      <c r="K17" s="530"/>
      <c r="L17" s="531"/>
      <c r="M17" s="530"/>
      <c r="N17" s="530"/>
      <c r="O17" s="530"/>
      <c r="P17" s="530"/>
    </row>
    <row r="18" spans="2:16">
      <c r="B18" s="528" t="s">
        <v>205</v>
      </c>
      <c r="C18" s="462" t="s">
        <v>569</v>
      </c>
      <c r="D18" s="509">
        <f>+'V8 Excel 9%'!B6</f>
        <v>3</v>
      </c>
      <c r="E18" s="460">
        <v>9</v>
      </c>
      <c r="F18" s="526">
        <f t="shared" si="0"/>
        <v>0.03</v>
      </c>
      <c r="G18" s="74" t="s">
        <v>514</v>
      </c>
      <c r="J18" s="530" t="s">
        <v>630</v>
      </c>
      <c r="K18" s="530"/>
      <c r="L18" s="531"/>
      <c r="M18" s="530"/>
      <c r="N18" s="530"/>
      <c r="O18" s="530"/>
      <c r="P18" s="530"/>
    </row>
    <row r="19" spans="2:16">
      <c r="B19" s="461" t="s">
        <v>206</v>
      </c>
      <c r="C19" s="459" t="s">
        <v>639</v>
      </c>
      <c r="D19" s="509">
        <f>+'V 9 a) prófj. og lokaf 27%'!E11</f>
        <v>0</v>
      </c>
      <c r="E19" s="460">
        <v>81</v>
      </c>
      <c r="F19" s="463">
        <f t="shared" si="0"/>
        <v>0.27</v>
      </c>
      <c r="G19" s="74" t="s">
        <v>612</v>
      </c>
      <c r="J19" s="530" t="s">
        <v>631</v>
      </c>
      <c r="K19" s="530"/>
      <c r="L19" s="532"/>
      <c r="M19" s="530"/>
      <c r="N19" s="530"/>
      <c r="O19" s="530"/>
      <c r="P19" s="530"/>
    </row>
    <row r="20" spans="2:16">
      <c r="B20" s="461" t="s">
        <v>162</v>
      </c>
      <c r="C20" s="459"/>
      <c r="D20" s="510">
        <f>+SUM(D7:D19)</f>
        <v>17</v>
      </c>
      <c r="E20" s="460">
        <f>SUM(E7:E19)</f>
        <v>300</v>
      </c>
      <c r="F20" s="463">
        <f>SUM(F7:F19)</f>
        <v>1</v>
      </c>
      <c r="J20" s="530" t="s">
        <v>692</v>
      </c>
      <c r="K20" s="530"/>
      <c r="L20" s="530"/>
      <c r="M20" s="530"/>
      <c r="N20" s="530"/>
      <c r="O20" s="530"/>
      <c r="P20" s="530"/>
    </row>
    <row r="21" spans="2:16">
      <c r="D21" s="76"/>
      <c r="J21" s="530"/>
      <c r="K21" s="530"/>
      <c r="L21" s="530"/>
      <c r="M21" s="530"/>
      <c r="N21" s="530"/>
      <c r="O21" s="530"/>
      <c r="P21" s="530"/>
    </row>
    <row r="22" spans="2:16" ht="12.75">
      <c r="I22" s="74"/>
    </row>
    <row r="23" spans="2:16" ht="14.25" customHeight="1"/>
    <row r="24" spans="2:16">
      <c r="B24" s="74" t="s">
        <v>354</v>
      </c>
    </row>
    <row r="26" spans="2:16" ht="12.75">
      <c r="B26" s="74" t="s">
        <v>213</v>
      </c>
      <c r="I26" s="74"/>
    </row>
    <row r="27" spans="2:16" ht="12.75">
      <c r="I27" s="74"/>
    </row>
    <row r="28" spans="2:16" ht="12.75">
      <c r="I28" s="74"/>
    </row>
  </sheetData>
  <mergeCells count="1">
    <mergeCell ref="J8:M11"/>
  </mergeCells>
  <phoneticPr fontId="64" type="noConversion"/>
  <pageMargins left="0.75" right="0.75" top="1" bottom="1" header="0.5" footer="0.5"/>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6E2008-F760-4EC6-B80D-F2B1DEB9B84C}">
  <sheetPr>
    <tabColor rgb="FF0070C0"/>
  </sheetPr>
  <dimension ref="A1:R64"/>
  <sheetViews>
    <sheetView workbookViewId="0">
      <selection activeCell="E19" sqref="E19"/>
    </sheetView>
  </sheetViews>
  <sheetFormatPr defaultColWidth="10.7109375" defaultRowHeight="15"/>
  <cols>
    <col min="1" max="1" width="12.42578125" style="4" customWidth="1"/>
    <col min="2" max="3" width="10.7109375" style="4"/>
    <col min="4" max="4" width="21.85546875" style="4" customWidth="1"/>
    <col min="5" max="5" width="10.7109375" style="4" customWidth="1"/>
    <col min="6" max="6" width="12.28515625" style="4" customWidth="1"/>
    <col min="7" max="8" width="10.7109375" style="4"/>
    <col min="9" max="10" width="11.140625" style="4" bestFit="1" customWidth="1"/>
    <col min="11" max="13" width="10.7109375" style="4"/>
    <col min="14" max="15" width="11.140625" style="4" bestFit="1" customWidth="1"/>
    <col min="16" max="16384" width="10.7109375" style="4"/>
  </cols>
  <sheetData>
    <row r="1" spans="1:8">
      <c r="E1" s="4" t="s">
        <v>534</v>
      </c>
      <c r="F1" s="4" t="s">
        <v>535</v>
      </c>
    </row>
    <row r="2" spans="1:8">
      <c r="B2" s="38" t="s">
        <v>491</v>
      </c>
      <c r="C2" s="468" t="s">
        <v>533</v>
      </c>
      <c r="D2"/>
      <c r="E2" s="391">
        <v>0</v>
      </c>
      <c r="F2" s="144"/>
    </row>
    <row r="3" spans="1:8">
      <c r="B3" s="38" t="s">
        <v>492</v>
      </c>
      <c r="C3" s="468">
        <f>+C23</f>
        <v>0</v>
      </c>
      <c r="D3"/>
      <c r="E3" s="391">
        <v>0</v>
      </c>
      <c r="F3" s="144"/>
    </row>
    <row r="4" spans="1:8">
      <c r="B4" s="38" t="s">
        <v>492</v>
      </c>
      <c r="C4" s="468">
        <f t="shared" ref="C4:C8" si="0">+C24</f>
        <v>0</v>
      </c>
      <c r="D4"/>
      <c r="E4" s="391">
        <v>0</v>
      </c>
      <c r="F4" s="144"/>
    </row>
    <row r="5" spans="1:8">
      <c r="B5" s="38" t="s">
        <v>492</v>
      </c>
      <c r="C5" s="468">
        <f t="shared" si="0"/>
        <v>0</v>
      </c>
      <c r="D5"/>
      <c r="E5" s="391">
        <v>0</v>
      </c>
      <c r="F5" s="144"/>
    </row>
    <row r="6" spans="1:8">
      <c r="B6" s="38" t="s">
        <v>493</v>
      </c>
      <c r="C6" s="468">
        <f t="shared" si="0"/>
        <v>0</v>
      </c>
      <c r="D6"/>
      <c r="E6" s="391">
        <v>0</v>
      </c>
      <c r="F6" s="144"/>
    </row>
    <row r="7" spans="1:8">
      <c r="B7" s="38" t="s">
        <v>494</v>
      </c>
      <c r="C7" s="468">
        <f t="shared" si="0"/>
        <v>0</v>
      </c>
      <c r="D7"/>
      <c r="E7" s="391">
        <v>0</v>
      </c>
      <c r="F7" s="144"/>
    </row>
    <row r="8" spans="1:8">
      <c r="B8" s="38" t="s">
        <v>532</v>
      </c>
      <c r="C8" s="468">
        <f t="shared" si="0"/>
        <v>0</v>
      </c>
      <c r="D8"/>
      <c r="E8" s="391">
        <v>0</v>
      </c>
      <c r="F8" s="144"/>
    </row>
    <row r="9" spans="1:8">
      <c r="C9" t="s">
        <v>611</v>
      </c>
      <c r="D9"/>
      <c r="E9" s="391">
        <v>0</v>
      </c>
      <c r="F9" s="144"/>
    </row>
    <row r="10" spans="1:8" ht="21.6" customHeight="1">
      <c r="B10" s="4" t="s">
        <v>531</v>
      </c>
      <c r="E10" s="391">
        <v>0</v>
      </c>
      <c r="F10" s="503">
        <f>SUM(F3:F9)</f>
        <v>0</v>
      </c>
      <c r="H10" s="470"/>
    </row>
    <row r="12" spans="1:8" ht="21">
      <c r="A12" s="513" t="s">
        <v>521</v>
      </c>
      <c r="B12" s="514"/>
      <c r="C12" s="514"/>
      <c r="D12" s="4" t="s">
        <v>613</v>
      </c>
    </row>
    <row r="13" spans="1:8" ht="18.75">
      <c r="A13" s="167"/>
    </row>
    <row r="14" spans="1:8" ht="18.75">
      <c r="A14" s="167"/>
    </row>
    <row r="15" spans="1:8" ht="18.75">
      <c r="A15" s="167"/>
    </row>
    <row r="16" spans="1:8" ht="18.75">
      <c r="A16" s="167"/>
    </row>
    <row r="17" spans="1:18" ht="18.75">
      <c r="A17" s="167"/>
    </row>
    <row r="18" spans="1:18" ht="18.75">
      <c r="A18" s="167"/>
    </row>
    <row r="19" spans="1:18" ht="18.75">
      <c r="A19" s="167"/>
    </row>
    <row r="20" spans="1:18" ht="18.75">
      <c r="A20" s="167"/>
      <c r="B20" s="28"/>
      <c r="C20" s="28"/>
      <c r="D20" s="28"/>
      <c r="E20" s="28"/>
      <c r="F20" s="28"/>
      <c r="G20" s="28"/>
      <c r="H20" s="28"/>
      <c r="I20" s="28"/>
      <c r="J20" s="28"/>
      <c r="K20" s="28"/>
      <c r="L20" s="28"/>
      <c r="M20" s="28"/>
      <c r="N20" s="28"/>
      <c r="O20" s="28"/>
      <c r="P20" s="28"/>
      <c r="Q20" s="28"/>
      <c r="R20" s="28"/>
    </row>
    <row r="21" spans="1:18">
      <c r="A21" s="28"/>
      <c r="B21" s="471" t="s">
        <v>522</v>
      </c>
      <c r="C21" s="472" t="s">
        <v>523</v>
      </c>
      <c r="D21" s="473"/>
      <c r="E21" s="473"/>
      <c r="F21" s="472" t="s">
        <v>524</v>
      </c>
      <c r="G21" s="28"/>
      <c r="H21" s="28"/>
      <c r="I21" s="474" t="s">
        <v>525</v>
      </c>
      <c r="J21" s="474"/>
      <c r="K21" s="28"/>
      <c r="L21" s="28"/>
      <c r="M21" s="28"/>
      <c r="N21" s="474" t="s">
        <v>525</v>
      </c>
      <c r="O21" s="474"/>
      <c r="P21" s="28"/>
      <c r="Q21" s="28"/>
      <c r="R21" s="28"/>
    </row>
    <row r="22" spans="1:18">
      <c r="A22" s="475" t="s">
        <v>526</v>
      </c>
      <c r="B22" s="476">
        <v>1</v>
      </c>
      <c r="C22" s="477" t="s">
        <v>529</v>
      </c>
      <c r="D22" s="477"/>
      <c r="E22" s="478"/>
      <c r="F22" s="479">
        <v>50000000</v>
      </c>
      <c r="G22" s="28"/>
      <c r="H22" s="480" t="s">
        <v>536</v>
      </c>
      <c r="I22" s="579" t="s">
        <v>537</v>
      </c>
      <c r="J22" s="580"/>
      <c r="K22" s="480" t="s">
        <v>536</v>
      </c>
      <c r="L22" s="28"/>
      <c r="M22" s="480"/>
      <c r="N22" s="579" t="s">
        <v>527</v>
      </c>
      <c r="O22" s="580"/>
      <c r="P22" s="480"/>
      <c r="Q22" s="28"/>
      <c r="R22" s="28"/>
    </row>
    <row r="23" spans="1:18">
      <c r="A23" s="28"/>
      <c r="B23" s="471"/>
      <c r="C23" s="481"/>
      <c r="D23" s="482"/>
      <c r="E23" s="483"/>
      <c r="F23" s="473"/>
      <c r="G23" s="28"/>
      <c r="H23" s="484">
        <v>1</v>
      </c>
      <c r="I23" s="485">
        <v>50000000</v>
      </c>
      <c r="J23" s="486"/>
      <c r="K23" s="487"/>
      <c r="L23" s="28"/>
      <c r="M23" s="487"/>
      <c r="N23" s="127"/>
      <c r="O23" s="488">
        <v>50000000</v>
      </c>
      <c r="P23" s="484">
        <v>1</v>
      </c>
      <c r="Q23" s="28"/>
      <c r="R23" s="28"/>
    </row>
    <row r="24" spans="1:18">
      <c r="A24" s="28"/>
      <c r="B24" s="471"/>
      <c r="C24" s="481"/>
      <c r="D24" s="482"/>
      <c r="E24" s="483"/>
      <c r="F24" s="473"/>
      <c r="G24" s="28"/>
      <c r="H24" s="487"/>
      <c r="I24" s="127"/>
      <c r="J24" s="486"/>
      <c r="K24" s="487"/>
      <c r="L24" s="28"/>
      <c r="M24" s="487"/>
      <c r="N24" s="127"/>
      <c r="O24" s="486"/>
      <c r="P24" s="487"/>
      <c r="Q24" s="28"/>
      <c r="R24" s="28"/>
    </row>
    <row r="25" spans="1:18">
      <c r="A25" s="28"/>
      <c r="B25" s="471"/>
      <c r="C25" s="481"/>
      <c r="D25" s="482"/>
      <c r="E25" s="483"/>
      <c r="F25" s="473"/>
      <c r="G25" s="28"/>
      <c r="H25" s="487"/>
      <c r="I25" s="127"/>
      <c r="J25" s="486"/>
      <c r="K25" s="487"/>
      <c r="L25" s="28"/>
      <c r="M25" s="487"/>
      <c r="N25" s="127"/>
      <c r="O25" s="486"/>
      <c r="P25" s="487"/>
      <c r="Q25" s="28"/>
      <c r="R25" s="28"/>
    </row>
    <row r="26" spans="1:18">
      <c r="A26" s="28"/>
      <c r="B26" s="471"/>
      <c r="C26" s="481"/>
      <c r="D26" s="482"/>
      <c r="E26" s="489"/>
      <c r="F26" s="473"/>
      <c r="G26" s="28"/>
      <c r="H26" s="487"/>
      <c r="I26" s="127"/>
      <c r="J26" s="486"/>
      <c r="K26" s="487"/>
      <c r="L26" s="28"/>
      <c r="M26" s="487"/>
      <c r="N26" s="127"/>
      <c r="O26" s="486"/>
      <c r="P26" s="487"/>
      <c r="Q26" s="28"/>
      <c r="R26" s="28"/>
    </row>
    <row r="27" spans="1:18">
      <c r="A27" s="28"/>
      <c r="B27" s="471"/>
      <c r="C27" s="481"/>
      <c r="D27" s="482"/>
      <c r="E27" s="483"/>
      <c r="F27" s="473"/>
      <c r="G27" s="28"/>
      <c r="H27" s="487"/>
      <c r="I27" s="127"/>
      <c r="J27" s="486"/>
      <c r="K27" s="487"/>
      <c r="L27" s="28"/>
      <c r="M27" s="487"/>
      <c r="N27" s="127"/>
      <c r="O27" s="486"/>
      <c r="P27" s="487"/>
      <c r="Q27" s="28"/>
      <c r="R27" s="28"/>
    </row>
    <row r="28" spans="1:18">
      <c r="A28" s="28"/>
      <c r="B28" s="471"/>
      <c r="C28" s="481"/>
      <c r="D28" s="482"/>
      <c r="E28" s="483"/>
      <c r="F28" s="473"/>
      <c r="G28" s="28"/>
      <c r="H28" s="487"/>
      <c r="I28" s="127"/>
      <c r="J28" s="486"/>
      <c r="K28" s="487"/>
      <c r="L28" s="28"/>
      <c r="M28" s="487"/>
      <c r="N28" s="127"/>
      <c r="O28" s="486"/>
      <c r="P28" s="487"/>
      <c r="Q28" s="28"/>
      <c r="R28" s="28"/>
    </row>
    <row r="29" spans="1:18" ht="15.75" thickBot="1">
      <c r="A29" s="28"/>
      <c r="B29" s="471"/>
      <c r="C29" s="482"/>
      <c r="D29" s="482"/>
      <c r="E29" s="483"/>
      <c r="F29" s="473"/>
      <c r="G29" s="28"/>
      <c r="H29" s="490"/>
      <c r="I29" s="491">
        <f>SUM(I23:I28)</f>
        <v>50000000</v>
      </c>
      <c r="J29" s="491">
        <f>SUM(J23:J28)</f>
        <v>0</v>
      </c>
      <c r="K29" s="490"/>
      <c r="L29" s="28"/>
      <c r="M29" s="490"/>
      <c r="N29" s="491">
        <f>SUM(N23:N28)</f>
        <v>0</v>
      </c>
      <c r="O29" s="491">
        <f>SUM(O23:O28)</f>
        <v>50000000</v>
      </c>
      <c r="P29" s="490"/>
      <c r="Q29" s="28"/>
      <c r="R29" s="28"/>
    </row>
    <row r="30" spans="1:18">
      <c r="A30" s="28"/>
      <c r="B30" s="471"/>
      <c r="C30" s="482"/>
      <c r="D30" s="482"/>
      <c r="E30" s="483"/>
      <c r="F30" s="473"/>
      <c r="G30" s="28"/>
      <c r="H30" s="490"/>
      <c r="I30" s="28"/>
      <c r="J30" s="28"/>
      <c r="K30" s="490"/>
      <c r="L30" s="28"/>
      <c r="M30" s="490"/>
      <c r="N30" s="28"/>
      <c r="O30" s="28"/>
      <c r="P30" s="490"/>
      <c r="Q30" s="28"/>
      <c r="R30" s="28"/>
    </row>
    <row r="31" spans="1:18">
      <c r="A31" s="28"/>
      <c r="B31" s="471"/>
      <c r="C31" s="482"/>
      <c r="D31" s="482"/>
      <c r="E31" s="483"/>
      <c r="F31" s="473"/>
      <c r="G31" s="28"/>
      <c r="H31" s="490"/>
      <c r="I31" s="28"/>
      <c r="J31" s="28"/>
      <c r="K31" s="490"/>
      <c r="L31" s="28"/>
      <c r="M31" s="490"/>
      <c r="N31" s="28"/>
      <c r="O31" s="28"/>
      <c r="P31" s="490"/>
      <c r="Q31" s="28"/>
      <c r="R31" s="28"/>
    </row>
    <row r="32" spans="1:18">
      <c r="A32" s="28"/>
      <c r="B32" s="471"/>
      <c r="C32" s="482"/>
      <c r="D32" s="482"/>
      <c r="E32" s="483"/>
      <c r="F32" s="473"/>
      <c r="G32" s="28"/>
      <c r="H32" s="490"/>
      <c r="I32" s="474"/>
      <c r="J32" s="474"/>
      <c r="K32" s="490"/>
      <c r="L32" s="28"/>
      <c r="M32" s="490"/>
      <c r="N32" s="474"/>
      <c r="O32" s="474"/>
      <c r="P32" s="490"/>
      <c r="Q32" s="28"/>
      <c r="R32" s="28"/>
    </row>
    <row r="33" spans="1:18">
      <c r="A33" s="28"/>
      <c r="B33" s="471"/>
      <c r="C33" s="482"/>
      <c r="D33" s="482"/>
      <c r="E33" s="483"/>
      <c r="F33" s="473"/>
      <c r="G33" s="28"/>
      <c r="H33" s="480"/>
      <c r="I33" s="579" t="s">
        <v>703</v>
      </c>
      <c r="J33" s="580"/>
      <c r="K33" s="480"/>
      <c r="L33" s="28"/>
      <c r="M33" s="480"/>
      <c r="N33" s="579" t="s">
        <v>703</v>
      </c>
      <c r="O33" s="580"/>
      <c r="P33" s="480"/>
      <c r="Q33" s="28"/>
      <c r="R33" s="28"/>
    </row>
    <row r="34" spans="1:18">
      <c r="A34" s="28"/>
      <c r="B34" s="471"/>
      <c r="C34" s="482"/>
      <c r="D34" s="482"/>
      <c r="E34" s="483"/>
      <c r="F34" s="473"/>
      <c r="G34" s="28"/>
      <c r="H34" s="487"/>
      <c r="I34" s="127"/>
      <c r="J34" s="486"/>
      <c r="K34" s="487"/>
      <c r="L34" s="28"/>
      <c r="M34" s="487"/>
      <c r="N34" s="127"/>
      <c r="O34" s="486"/>
      <c r="P34" s="487"/>
      <c r="Q34" s="28"/>
      <c r="R34" s="28"/>
    </row>
    <row r="35" spans="1:18">
      <c r="A35" s="28"/>
      <c r="B35" s="471"/>
      <c r="C35" s="482"/>
      <c r="D35" s="482"/>
      <c r="E35" s="483"/>
      <c r="F35" s="473"/>
      <c r="G35" s="28"/>
      <c r="H35" s="487"/>
      <c r="I35" s="127"/>
      <c r="J35" s="486"/>
      <c r="K35" s="487"/>
      <c r="L35" s="28"/>
      <c r="M35" s="487"/>
      <c r="N35" s="127"/>
      <c r="O35" s="486"/>
      <c r="P35" s="487"/>
      <c r="Q35" s="28"/>
      <c r="R35" s="28"/>
    </row>
    <row r="36" spans="1:18">
      <c r="A36" s="28"/>
      <c r="B36" s="471"/>
      <c r="C36" s="482"/>
      <c r="D36" s="482"/>
      <c r="E36" s="483"/>
      <c r="F36" s="473"/>
      <c r="G36" s="28"/>
      <c r="H36" s="487"/>
      <c r="I36" s="127"/>
      <c r="J36" s="486"/>
      <c r="K36" s="487"/>
      <c r="L36" s="28"/>
      <c r="M36" s="487"/>
      <c r="N36" s="127"/>
      <c r="O36" s="486"/>
      <c r="P36" s="487"/>
      <c r="Q36" s="28"/>
      <c r="R36" s="28"/>
    </row>
    <row r="37" spans="1:18">
      <c r="A37" s="28"/>
      <c r="B37" s="28"/>
      <c r="C37" s="28"/>
      <c r="D37" s="28"/>
      <c r="E37" s="28"/>
      <c r="F37" s="28"/>
      <c r="G37" s="28"/>
      <c r="H37" s="487"/>
      <c r="I37" s="127"/>
      <c r="J37" s="486"/>
      <c r="K37" s="487"/>
      <c r="L37" s="28"/>
      <c r="M37" s="487"/>
      <c r="N37" s="127"/>
      <c r="O37" s="486"/>
      <c r="P37" s="487"/>
      <c r="Q37" s="28"/>
      <c r="R37" s="28"/>
    </row>
    <row r="38" spans="1:18">
      <c r="A38" s="28"/>
      <c r="B38" s="28"/>
      <c r="C38" s="28"/>
      <c r="D38" s="28"/>
      <c r="E38" s="28"/>
      <c r="F38" s="28"/>
      <c r="G38" s="28"/>
      <c r="H38" s="487"/>
      <c r="I38" s="127"/>
      <c r="J38" s="486"/>
      <c r="K38" s="487"/>
      <c r="L38" s="28"/>
      <c r="M38" s="487"/>
      <c r="N38" s="127"/>
      <c r="O38" s="486"/>
      <c r="P38" s="487"/>
      <c r="Q38" s="28"/>
      <c r="R38" s="28"/>
    </row>
    <row r="39" spans="1:18">
      <c r="A39" s="28"/>
      <c r="B39" s="28"/>
      <c r="C39" s="28"/>
      <c r="D39" s="28"/>
      <c r="E39" s="28"/>
      <c r="F39" s="28"/>
      <c r="G39" s="28"/>
      <c r="H39" s="487"/>
      <c r="I39" s="127"/>
      <c r="J39" s="486"/>
      <c r="K39" s="487"/>
      <c r="L39" s="28"/>
      <c r="M39" s="487"/>
      <c r="N39" s="127"/>
      <c r="O39" s="486"/>
      <c r="P39" s="487"/>
      <c r="Q39" s="28"/>
      <c r="R39" s="28"/>
    </row>
    <row r="40" spans="1:18" ht="15.75" thickBot="1">
      <c r="A40" s="28"/>
      <c r="B40" s="49" t="s">
        <v>530</v>
      </c>
      <c r="C40" s="28"/>
      <c r="D40" s="28"/>
      <c r="E40" s="28"/>
      <c r="F40" s="28"/>
      <c r="G40" s="28"/>
      <c r="H40" s="490"/>
      <c r="I40" s="491">
        <f>SUM(I34:I39)</f>
        <v>0</v>
      </c>
      <c r="J40" s="491">
        <f>SUM(J34:J39)</f>
        <v>0</v>
      </c>
      <c r="K40" s="490"/>
      <c r="L40" s="28"/>
      <c r="M40" s="490"/>
      <c r="N40" s="491">
        <f>SUM(N34:N39)</f>
        <v>0</v>
      </c>
      <c r="O40" s="491">
        <f>SUM(O34:O39)</f>
        <v>0</v>
      </c>
      <c r="P40" s="490"/>
      <c r="Q40" s="28"/>
      <c r="R40" s="28"/>
    </row>
    <row r="41" spans="1:18">
      <c r="A41" s="28"/>
      <c r="B41" s="28"/>
      <c r="C41" s="28"/>
      <c r="D41" s="28"/>
      <c r="E41" s="28"/>
      <c r="F41" s="28"/>
      <c r="G41" s="28"/>
      <c r="H41" s="490"/>
      <c r="I41" s="28"/>
      <c r="J41" s="28"/>
      <c r="K41" s="490"/>
      <c r="L41" s="28"/>
      <c r="M41" s="490"/>
      <c r="N41" s="28"/>
      <c r="O41" s="28"/>
      <c r="P41" s="490"/>
      <c r="Q41" s="28"/>
      <c r="R41" s="28"/>
    </row>
    <row r="42" spans="1:18">
      <c r="A42" s="28"/>
      <c r="B42" s="31"/>
      <c r="C42" s="31"/>
      <c r="D42" s="31"/>
      <c r="E42" s="31"/>
      <c r="F42" s="31"/>
      <c r="G42" s="28"/>
      <c r="H42" s="490"/>
      <c r="I42" s="28"/>
      <c r="J42" s="28"/>
      <c r="K42" s="490"/>
      <c r="L42" s="28"/>
      <c r="M42" s="490"/>
      <c r="N42" s="28"/>
      <c r="O42" s="28"/>
      <c r="P42" s="490"/>
      <c r="Q42" s="28"/>
      <c r="R42" s="28"/>
    </row>
    <row r="43" spans="1:18">
      <c r="A43" s="28"/>
      <c r="B43" s="31"/>
      <c r="C43" s="31"/>
      <c r="D43" s="31"/>
      <c r="E43" s="31"/>
      <c r="F43" s="31"/>
      <c r="G43" s="28"/>
      <c r="H43" s="490"/>
      <c r="I43" s="474"/>
      <c r="J43" s="474"/>
      <c r="K43" s="490"/>
      <c r="L43" s="28"/>
      <c r="M43" s="490"/>
      <c r="N43" s="474"/>
      <c r="O43" s="474"/>
      <c r="P43" s="490"/>
      <c r="Q43" s="28"/>
      <c r="R43" s="28"/>
    </row>
    <row r="44" spans="1:18">
      <c r="A44" s="28"/>
      <c r="B44" s="31"/>
      <c r="C44" s="31"/>
      <c r="D44" s="31"/>
      <c r="E44" s="31"/>
      <c r="F44" s="31"/>
      <c r="G44" s="28"/>
      <c r="H44" s="480"/>
      <c r="I44" s="579" t="s">
        <v>703</v>
      </c>
      <c r="J44" s="580"/>
      <c r="K44" s="480"/>
      <c r="L44" s="28"/>
      <c r="M44" s="480"/>
      <c r="N44" s="579" t="s">
        <v>703</v>
      </c>
      <c r="O44" s="580"/>
      <c r="P44" s="480"/>
      <c r="Q44" s="28"/>
      <c r="R44" s="28"/>
    </row>
    <row r="45" spans="1:18">
      <c r="A45" s="28"/>
      <c r="B45" s="28"/>
      <c r="C45" s="28"/>
      <c r="D45" s="28"/>
      <c r="E45" s="31"/>
      <c r="F45" s="28"/>
      <c r="G45" s="28"/>
      <c r="H45" s="487"/>
      <c r="I45" s="127"/>
      <c r="J45" s="486"/>
      <c r="K45" s="487"/>
      <c r="L45" s="28"/>
      <c r="M45" s="487"/>
      <c r="N45" s="127"/>
      <c r="O45" s="486"/>
      <c r="P45" s="487"/>
      <c r="Q45" s="28"/>
      <c r="R45" s="28"/>
    </row>
    <row r="46" spans="1:18">
      <c r="A46" s="28"/>
      <c r="B46" s="28"/>
      <c r="C46" s="28"/>
      <c r="D46" s="28"/>
      <c r="E46" s="31"/>
      <c r="F46" s="28"/>
      <c r="G46" s="28"/>
      <c r="H46" s="487"/>
      <c r="I46" s="127"/>
      <c r="J46" s="486"/>
      <c r="K46" s="487"/>
      <c r="L46" s="28"/>
      <c r="M46" s="487"/>
      <c r="N46" s="127"/>
      <c r="O46" s="486"/>
      <c r="P46" s="487"/>
      <c r="Q46" s="469"/>
      <c r="R46" s="28"/>
    </row>
    <row r="47" spans="1:18">
      <c r="A47" s="28"/>
      <c r="B47" s="28"/>
      <c r="C47" s="28"/>
      <c r="D47" s="28"/>
      <c r="E47" s="28"/>
      <c r="F47" s="28"/>
      <c r="G47" s="28"/>
      <c r="H47" s="487"/>
      <c r="I47" s="127"/>
      <c r="J47" s="486"/>
      <c r="K47" s="487"/>
      <c r="L47" s="28"/>
      <c r="M47" s="487"/>
      <c r="N47" s="127"/>
      <c r="O47" s="486"/>
      <c r="P47" s="487"/>
      <c r="Q47" s="28"/>
      <c r="R47" s="28"/>
    </row>
    <row r="48" spans="1:18">
      <c r="A48" s="28"/>
      <c r="B48" s="28"/>
      <c r="C48" s="28"/>
      <c r="D48" s="28"/>
      <c r="E48" s="28"/>
      <c r="F48" s="28"/>
      <c r="G48" s="28"/>
      <c r="H48" s="487"/>
      <c r="I48" s="127"/>
      <c r="J48" s="486"/>
      <c r="K48" s="487"/>
      <c r="L48" s="28"/>
      <c r="M48" s="487"/>
      <c r="N48" s="127"/>
      <c r="O48" s="486"/>
      <c r="P48" s="487"/>
      <c r="Q48" s="469"/>
      <c r="R48" s="28"/>
    </row>
    <row r="49" spans="1:18">
      <c r="A49" s="28"/>
      <c r="B49" s="28"/>
      <c r="C49" s="28"/>
      <c r="D49" s="28"/>
      <c r="E49" s="28"/>
      <c r="F49" s="28"/>
      <c r="G49" s="28"/>
      <c r="H49" s="487"/>
      <c r="I49" s="127"/>
      <c r="J49" s="486"/>
      <c r="K49" s="487"/>
      <c r="L49" s="28"/>
      <c r="M49" s="487"/>
      <c r="N49" s="127"/>
      <c r="O49" s="486"/>
      <c r="P49" s="487"/>
      <c r="Q49" s="28"/>
      <c r="R49" s="28"/>
    </row>
    <row r="50" spans="1:18">
      <c r="A50" s="28"/>
      <c r="B50" s="28"/>
      <c r="C50" s="28"/>
      <c r="D50" s="28"/>
      <c r="E50" s="28"/>
      <c r="F50" s="28"/>
      <c r="G50" s="28"/>
      <c r="H50" s="487"/>
      <c r="I50" s="127"/>
      <c r="J50" s="486"/>
      <c r="K50" s="487"/>
      <c r="L50" s="28"/>
      <c r="M50" s="487"/>
      <c r="N50" s="127"/>
      <c r="O50" s="486"/>
      <c r="P50" s="487"/>
      <c r="Q50" s="28"/>
      <c r="R50" s="28"/>
    </row>
    <row r="51" spans="1:18" ht="15.75" thickBot="1">
      <c r="A51" s="28"/>
      <c r="B51" s="28"/>
      <c r="C51" s="28"/>
      <c r="D51" s="28"/>
      <c r="E51" s="28"/>
      <c r="F51" s="28"/>
      <c r="G51" s="28"/>
      <c r="H51" s="490"/>
      <c r="I51" s="491">
        <f>SUM(I45:I50)</f>
        <v>0</v>
      </c>
      <c r="J51" s="491">
        <f>SUM(J45:J50)</f>
        <v>0</v>
      </c>
      <c r="K51" s="490"/>
      <c r="L51" s="28"/>
      <c r="M51" s="490"/>
      <c r="N51" s="491">
        <f>SUM(N45:N50)</f>
        <v>0</v>
      </c>
      <c r="O51" s="491">
        <f>SUM(O45:O50)</f>
        <v>0</v>
      </c>
      <c r="P51" s="490"/>
      <c r="Q51" s="28"/>
      <c r="R51" s="28"/>
    </row>
    <row r="52" spans="1:18">
      <c r="A52" s="28"/>
      <c r="B52" s="28"/>
      <c r="C52" s="28"/>
      <c r="D52" s="28"/>
      <c r="E52" s="28"/>
      <c r="F52" s="28"/>
      <c r="G52" s="28"/>
      <c r="H52" s="490"/>
      <c r="I52" s="28"/>
      <c r="J52" s="28"/>
      <c r="K52" s="490"/>
      <c r="L52" s="28"/>
      <c r="M52" s="490"/>
      <c r="N52" s="28"/>
      <c r="O52" s="28"/>
      <c r="P52" s="490"/>
      <c r="Q52" s="28"/>
      <c r="R52" s="28"/>
    </row>
    <row r="53" spans="1:18">
      <c r="A53" s="28"/>
      <c r="B53" s="28"/>
      <c r="C53" s="28"/>
      <c r="D53" s="28"/>
      <c r="E53" s="28"/>
      <c r="F53" s="28"/>
      <c r="G53" s="28"/>
      <c r="H53" s="490"/>
      <c r="I53" s="28"/>
      <c r="J53" s="28"/>
      <c r="K53" s="490"/>
      <c r="L53" s="28"/>
      <c r="M53" s="490"/>
      <c r="N53" s="28"/>
      <c r="O53" s="28"/>
      <c r="P53" s="490"/>
      <c r="Q53" s="28"/>
      <c r="R53" s="28"/>
    </row>
    <row r="54" spans="1:18">
      <c r="A54" s="28"/>
      <c r="B54" s="28"/>
      <c r="C54" s="28"/>
      <c r="D54" s="28"/>
      <c r="E54" s="28"/>
      <c r="F54" s="28"/>
      <c r="G54" s="28"/>
      <c r="H54" s="490"/>
      <c r="I54" s="474"/>
      <c r="J54" s="474"/>
      <c r="K54" s="490"/>
      <c r="L54" s="28"/>
      <c r="M54" s="490"/>
      <c r="N54" s="474"/>
      <c r="O54" s="474"/>
      <c r="P54" s="490"/>
      <c r="Q54" s="28"/>
      <c r="R54" s="28"/>
    </row>
    <row r="55" spans="1:18">
      <c r="A55" s="28"/>
      <c r="B55" s="28"/>
      <c r="C55" s="28"/>
      <c r="D55" s="28"/>
      <c r="E55" s="28"/>
      <c r="F55" s="28"/>
      <c r="G55" s="28"/>
      <c r="H55" s="480"/>
      <c r="I55" s="579" t="s">
        <v>528</v>
      </c>
      <c r="J55" s="580"/>
      <c r="K55" s="480"/>
      <c r="L55" s="28"/>
      <c r="M55" s="480"/>
      <c r="N55" s="579" t="s">
        <v>528</v>
      </c>
      <c r="O55" s="580"/>
      <c r="P55" s="480"/>
      <c r="Q55" s="28"/>
      <c r="R55" s="28"/>
    </row>
    <row r="56" spans="1:18">
      <c r="A56" s="28"/>
      <c r="B56" s="28"/>
      <c r="C56" s="28"/>
      <c r="D56" s="28"/>
      <c r="E56" s="28"/>
      <c r="F56" s="28"/>
      <c r="G56" s="28"/>
      <c r="H56" s="487"/>
      <c r="I56" s="127">
        <f>+F37</f>
        <v>0</v>
      </c>
      <c r="J56" s="486"/>
      <c r="K56" s="487"/>
      <c r="L56" s="28"/>
      <c r="M56" s="487"/>
      <c r="N56" s="127">
        <f>+K37</f>
        <v>0</v>
      </c>
      <c r="O56" s="486"/>
      <c r="P56" s="487"/>
      <c r="Q56" s="28"/>
      <c r="R56" s="28"/>
    </row>
    <row r="57" spans="1:18">
      <c r="A57" s="28"/>
      <c r="B57" s="28"/>
      <c r="C57" s="28"/>
      <c r="D57" s="28"/>
      <c r="E57" s="28"/>
      <c r="F57" s="28"/>
      <c r="G57" s="28"/>
      <c r="H57" s="487"/>
      <c r="I57" s="127"/>
      <c r="J57" s="486"/>
      <c r="K57" s="487"/>
      <c r="L57" s="28"/>
      <c r="M57" s="487"/>
      <c r="N57" s="127"/>
      <c r="O57" s="486"/>
      <c r="P57" s="487"/>
      <c r="Q57" s="28"/>
      <c r="R57" s="28"/>
    </row>
    <row r="58" spans="1:18">
      <c r="A58" s="28"/>
      <c r="B58" s="28"/>
      <c r="C58" s="28"/>
      <c r="D58" s="28"/>
      <c r="E58" s="28"/>
      <c r="F58" s="28"/>
      <c r="G58" s="28"/>
      <c r="H58" s="487"/>
      <c r="I58" s="127"/>
      <c r="J58" s="486"/>
      <c r="K58" s="487"/>
      <c r="L58" s="28"/>
      <c r="M58" s="487"/>
      <c r="N58" s="127"/>
      <c r="O58" s="486"/>
      <c r="P58" s="487"/>
      <c r="Q58" s="28"/>
      <c r="R58" s="28"/>
    </row>
    <row r="59" spans="1:18">
      <c r="A59" s="28"/>
      <c r="B59" s="28"/>
      <c r="C59" s="28"/>
      <c r="D59" s="28"/>
      <c r="E59" s="28"/>
      <c r="F59" s="28"/>
      <c r="G59" s="28"/>
      <c r="H59" s="487"/>
      <c r="I59" s="127"/>
      <c r="J59" s="486"/>
      <c r="K59" s="487"/>
      <c r="L59" s="28"/>
      <c r="M59" s="487"/>
      <c r="N59" s="127"/>
      <c r="O59" s="486"/>
      <c r="P59" s="487"/>
      <c r="Q59" s="28"/>
      <c r="R59" s="28"/>
    </row>
    <row r="60" spans="1:18">
      <c r="A60" s="28"/>
      <c r="B60" s="28"/>
      <c r="C60" s="28"/>
      <c r="D60" s="28"/>
      <c r="E60" s="28"/>
      <c r="F60" s="28"/>
      <c r="G60" s="28"/>
      <c r="H60" s="487"/>
      <c r="I60" s="127"/>
      <c r="J60" s="486"/>
      <c r="K60" s="487"/>
      <c r="L60" s="28"/>
      <c r="M60" s="487"/>
      <c r="N60" s="127"/>
      <c r="O60" s="486"/>
      <c r="P60" s="487"/>
      <c r="Q60" s="28"/>
      <c r="R60" s="28"/>
    </row>
    <row r="61" spans="1:18">
      <c r="A61" s="28"/>
      <c r="B61" s="28"/>
      <c r="C61" s="28"/>
      <c r="D61" s="28"/>
      <c r="E61" s="28"/>
      <c r="F61" s="28"/>
      <c r="G61" s="28"/>
      <c r="H61" s="487"/>
      <c r="I61" s="127"/>
      <c r="J61" s="486"/>
      <c r="K61" s="487"/>
      <c r="L61" s="28"/>
      <c r="M61" s="487"/>
      <c r="N61" s="127"/>
      <c r="O61" s="486"/>
      <c r="P61" s="487"/>
      <c r="Q61" s="28"/>
      <c r="R61" s="28"/>
    </row>
    <row r="62" spans="1:18" ht="15.75" thickBot="1">
      <c r="A62" s="28"/>
      <c r="B62" s="28"/>
      <c r="C62" s="28"/>
      <c r="D62" s="28"/>
      <c r="E62" s="28"/>
      <c r="F62" s="28"/>
      <c r="G62" s="28"/>
      <c r="H62" s="490"/>
      <c r="I62" s="491">
        <f>SUM(I56:I61)</f>
        <v>0</v>
      </c>
      <c r="J62" s="491">
        <f>SUM(J56:J61)</f>
        <v>0</v>
      </c>
      <c r="K62" s="490"/>
      <c r="L62" s="28"/>
      <c r="M62" s="490"/>
      <c r="N62" s="491">
        <f>SUM(N56:N61)</f>
        <v>0</v>
      </c>
      <c r="O62" s="491">
        <f>SUM(O56:O61)</f>
        <v>0</v>
      </c>
      <c r="P62" s="490"/>
      <c r="Q62" s="28"/>
      <c r="R62" s="28"/>
    </row>
    <row r="63" spans="1:18">
      <c r="A63" s="28"/>
      <c r="B63" s="28"/>
      <c r="C63" s="28"/>
      <c r="D63" s="28"/>
      <c r="E63" s="28"/>
      <c r="F63" s="28"/>
      <c r="G63" s="28"/>
      <c r="H63" s="28"/>
      <c r="I63" s="28"/>
      <c r="J63" s="28"/>
      <c r="K63" s="28"/>
      <c r="L63" s="28"/>
      <c r="M63" s="490"/>
      <c r="N63" s="28"/>
      <c r="O63" s="28"/>
      <c r="P63" s="490"/>
      <c r="Q63" s="28"/>
      <c r="R63" s="28"/>
    </row>
    <row r="64" spans="1:18">
      <c r="A64" s="28"/>
      <c r="B64" s="28"/>
      <c r="C64" s="28"/>
      <c r="D64" s="28"/>
      <c r="E64" s="28"/>
      <c r="F64" s="28"/>
      <c r="G64" s="28"/>
      <c r="H64" s="28"/>
      <c r="I64" s="28"/>
      <c r="J64" s="28"/>
      <c r="K64" s="28"/>
      <c r="L64" s="28"/>
      <c r="M64" s="28"/>
      <c r="N64" s="28"/>
      <c r="O64" s="28"/>
      <c r="P64" s="28"/>
      <c r="Q64" s="28"/>
      <c r="R64" s="28"/>
    </row>
  </sheetData>
  <mergeCells count="8">
    <mergeCell ref="I55:J55"/>
    <mergeCell ref="N55:O55"/>
    <mergeCell ref="I22:J22"/>
    <mergeCell ref="N22:O22"/>
    <mergeCell ref="I33:J33"/>
    <mergeCell ref="N33:O33"/>
    <mergeCell ref="I44:J44"/>
    <mergeCell ref="N44:O44"/>
  </mergeCells>
  <phoneticPr fontId="64" type="noConversion"/>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tabColor theme="4" tint="-0.249977111117893"/>
  </sheetPr>
  <dimension ref="A2:O26"/>
  <sheetViews>
    <sheetView zoomScaleNormal="100" zoomScaleSheetLayoutView="100" workbookViewId="0">
      <selection activeCell="J8" sqref="J8"/>
    </sheetView>
  </sheetViews>
  <sheetFormatPr defaultRowHeight="15"/>
  <cols>
    <col min="2" max="2" width="23.85546875" customWidth="1"/>
    <col min="3" max="3" width="13.7109375" customWidth="1"/>
    <col min="4" max="4" width="13.7109375" style="4" customWidth="1"/>
    <col min="5" max="5" width="13.7109375" customWidth="1"/>
    <col min="6" max="6" width="10.140625" bestFit="1" customWidth="1"/>
    <col min="8" max="8" width="15.5703125" bestFit="1" customWidth="1"/>
    <col min="9" max="9" width="17.7109375" customWidth="1"/>
    <col min="10" max="10" width="10.140625" customWidth="1"/>
  </cols>
  <sheetData>
    <row r="2" spans="1:15">
      <c r="A2" s="354" t="s">
        <v>1</v>
      </c>
      <c r="B2" s="146">
        <v>1.5</v>
      </c>
      <c r="C2" t="s">
        <v>558</v>
      </c>
    </row>
    <row r="3" spans="1:15">
      <c r="A3" s="354" t="s">
        <v>1</v>
      </c>
      <c r="B3" s="146">
        <v>1.5</v>
      </c>
      <c r="C3" t="s">
        <v>559</v>
      </c>
    </row>
    <row r="4" spans="1:15" ht="18.75">
      <c r="A4" s="354" t="s">
        <v>2</v>
      </c>
      <c r="B4" s="146">
        <v>1.5</v>
      </c>
      <c r="C4" t="s">
        <v>560</v>
      </c>
      <c r="I4" s="498" t="s">
        <v>538</v>
      </c>
      <c r="J4" s="498"/>
      <c r="K4" s="498"/>
    </row>
    <row r="5" spans="1:15">
      <c r="A5" s="354" t="s">
        <v>2</v>
      </c>
      <c r="B5" s="146">
        <v>1.5</v>
      </c>
      <c r="C5" t="s">
        <v>561</v>
      </c>
    </row>
    <row r="6" spans="1:15">
      <c r="A6" s="354" t="s">
        <v>3</v>
      </c>
      <c r="B6" s="146">
        <v>3</v>
      </c>
      <c r="C6" t="s">
        <v>562</v>
      </c>
      <c r="I6" t="s">
        <v>539</v>
      </c>
      <c r="J6" s="536" t="s">
        <v>540</v>
      </c>
      <c r="K6" s="536"/>
      <c r="L6" s="536"/>
      <c r="M6" s="536"/>
      <c r="N6" s="536"/>
      <c r="O6" s="536"/>
    </row>
    <row r="7" spans="1:15">
      <c r="B7" s="504">
        <f>SUM(B2:B6)</f>
        <v>9</v>
      </c>
      <c r="I7" t="s">
        <v>541</v>
      </c>
      <c r="J7" t="s">
        <v>675</v>
      </c>
    </row>
    <row r="8" spans="1:15">
      <c r="B8" s="142"/>
      <c r="I8" t="s">
        <v>542</v>
      </c>
      <c r="J8" t="s">
        <v>543</v>
      </c>
      <c r="M8" s="40">
        <v>0.03</v>
      </c>
    </row>
    <row r="9" spans="1:15" ht="21">
      <c r="A9" s="513" t="s">
        <v>557</v>
      </c>
      <c r="B9" s="517"/>
      <c r="C9" s="518"/>
      <c r="I9" t="s">
        <v>549</v>
      </c>
      <c r="J9" t="s">
        <v>550</v>
      </c>
      <c r="M9" s="40">
        <v>0.03</v>
      </c>
    </row>
    <row r="10" spans="1:15">
      <c r="B10" s="142"/>
      <c r="I10" t="s">
        <v>552</v>
      </c>
      <c r="J10" t="s">
        <v>551</v>
      </c>
      <c r="M10" s="40">
        <v>0.03</v>
      </c>
    </row>
    <row r="11" spans="1:15" ht="15.75">
      <c r="A11" s="166" t="s">
        <v>435</v>
      </c>
      <c r="B11" s="142"/>
      <c r="L11" t="s">
        <v>634</v>
      </c>
      <c r="M11" s="537">
        <f>SUM(M8:M10)</f>
        <v>0.09</v>
      </c>
    </row>
    <row r="12" spans="1:15">
      <c r="D12" s="4" t="s">
        <v>32</v>
      </c>
    </row>
    <row r="13" spans="1:15" ht="32.25" customHeight="1">
      <c r="A13" s="568" t="s">
        <v>674</v>
      </c>
      <c r="B13" s="568"/>
      <c r="C13" s="568"/>
      <c r="D13" s="568"/>
      <c r="E13" s="568"/>
      <c r="F13" s="568"/>
    </row>
    <row r="15" spans="1:15">
      <c r="A15" s="568" t="s">
        <v>327</v>
      </c>
      <c r="B15" s="568"/>
      <c r="C15" s="568"/>
      <c r="D15" s="568"/>
      <c r="E15" s="568"/>
      <c r="F15" s="568"/>
    </row>
    <row r="17" spans="1:9" ht="15.75" thickBot="1">
      <c r="A17" s="2" t="s">
        <v>144</v>
      </c>
    </row>
    <row r="18" spans="1:9" ht="43.5" customHeight="1" thickBot="1">
      <c r="A18" s="495" t="s">
        <v>544</v>
      </c>
      <c r="B18" s="582" t="s">
        <v>556</v>
      </c>
      <c r="C18" s="582"/>
      <c r="D18" s="582"/>
      <c r="E18" s="582"/>
      <c r="F18" s="583"/>
    </row>
    <row r="19" spans="1:9" ht="59.25" customHeight="1" thickBot="1">
      <c r="A19" s="495" t="s">
        <v>548</v>
      </c>
      <c r="B19" s="582" t="s">
        <v>563</v>
      </c>
      <c r="C19" s="582"/>
      <c r="D19" s="582"/>
      <c r="E19" s="582"/>
      <c r="F19" s="583"/>
    </row>
    <row r="20" spans="1:9" ht="35.65" customHeight="1">
      <c r="A20" s="496" t="s">
        <v>545</v>
      </c>
      <c r="B20" s="584" t="s">
        <v>564</v>
      </c>
      <c r="C20" s="584"/>
      <c r="D20" s="584"/>
      <c r="E20" s="584"/>
      <c r="F20" s="585"/>
      <c r="H20" s="370"/>
      <c r="I20" s="370"/>
    </row>
    <row r="21" spans="1:9" ht="45.4" customHeight="1" thickBot="1">
      <c r="A21" s="497"/>
      <c r="B21" s="586"/>
      <c r="C21" s="586"/>
      <c r="D21" s="586"/>
      <c r="E21" s="586"/>
      <c r="F21" s="587"/>
      <c r="H21" s="370"/>
      <c r="I21" s="370"/>
    </row>
    <row r="22" spans="1:9" ht="36" customHeight="1">
      <c r="A22" s="195"/>
      <c r="B22" s="565"/>
      <c r="C22" s="565"/>
      <c r="D22" s="565"/>
      <c r="E22" s="565"/>
      <c r="F22" s="565"/>
    </row>
    <row r="23" spans="1:9" ht="51.75" customHeight="1">
      <c r="A23" s="195"/>
      <c r="B23" s="570"/>
      <c r="C23" s="581"/>
      <c r="D23" s="581"/>
      <c r="E23" s="581"/>
      <c r="F23" s="581"/>
    </row>
    <row r="24" spans="1:9">
      <c r="A24" s="38"/>
      <c r="B24" s="581"/>
      <c r="C24" s="581"/>
      <c r="D24" s="581"/>
      <c r="E24" s="581"/>
      <c r="F24" s="581"/>
    </row>
    <row r="25" spans="1:9" ht="11.25" customHeight="1">
      <c r="A25" s="38"/>
      <c r="B25" s="581"/>
      <c r="C25" s="581"/>
      <c r="D25" s="581"/>
      <c r="E25" s="581"/>
      <c r="F25" s="581"/>
    </row>
    <row r="26" spans="1:9" ht="15" customHeight="1">
      <c r="A26" s="38"/>
      <c r="B26" s="38"/>
      <c r="C26" s="221"/>
      <c r="D26" s="221"/>
      <c r="E26" s="221"/>
      <c r="F26" s="38"/>
    </row>
  </sheetData>
  <mergeCells count="7">
    <mergeCell ref="B23:F25"/>
    <mergeCell ref="B22:F22"/>
    <mergeCell ref="A13:F13"/>
    <mergeCell ref="A15:F15"/>
    <mergeCell ref="B18:F18"/>
    <mergeCell ref="B19:F19"/>
    <mergeCell ref="B20:F21"/>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3">
    <tabColor theme="4" tint="-0.249977111117893"/>
  </sheetPr>
  <dimension ref="A1:R151"/>
  <sheetViews>
    <sheetView workbookViewId="0">
      <pane ySplit="1" topLeftCell="A2" activePane="bottomLeft" state="frozen"/>
      <selection pane="bottomLeft" activeCell="B3" sqref="B3"/>
    </sheetView>
  </sheetViews>
  <sheetFormatPr defaultColWidth="9.140625" defaultRowHeight="15"/>
  <cols>
    <col min="1" max="1" width="11.7109375" style="38" customWidth="1"/>
    <col min="2" max="2" width="28.5703125" style="38" bestFit="1" customWidth="1"/>
    <col min="3" max="4" width="11.7109375" style="38" customWidth="1"/>
    <col min="5" max="5" width="33.42578125" style="38" bestFit="1" customWidth="1"/>
    <col min="6" max="6" width="11.7109375" style="22" customWidth="1"/>
    <col min="7" max="8" width="11.7109375" style="38" customWidth="1"/>
    <col min="9" max="9" width="24.28515625" style="38" bestFit="1" customWidth="1"/>
    <col min="10" max="14" width="9.140625" style="38"/>
    <col min="15" max="15" width="13" style="38" customWidth="1"/>
    <col min="16" max="16384" width="9.140625" style="38"/>
  </cols>
  <sheetData>
    <row r="1" spans="1:18">
      <c r="A1" s="492" t="s">
        <v>52</v>
      </c>
      <c r="B1" s="492" t="s">
        <v>43</v>
      </c>
      <c r="C1" s="492" t="s">
        <v>53</v>
      </c>
      <c r="D1" s="492" t="s">
        <v>54</v>
      </c>
      <c r="E1" s="492" t="s">
        <v>56</v>
      </c>
      <c r="F1" s="493" t="s">
        <v>57</v>
      </c>
      <c r="G1" s="492" t="s">
        <v>58</v>
      </c>
      <c r="H1" s="492" t="s">
        <v>59</v>
      </c>
      <c r="I1" s="492" t="s">
        <v>367</v>
      </c>
      <c r="J1" s="492" t="s">
        <v>368</v>
      </c>
      <c r="K1" s="492"/>
    </row>
    <row r="2" spans="1:18">
      <c r="A2" s="38">
        <v>7620</v>
      </c>
      <c r="B2" s="38" t="s">
        <v>72</v>
      </c>
      <c r="C2" s="179">
        <v>43472</v>
      </c>
      <c r="D2" s="38">
        <v>1</v>
      </c>
      <c r="E2" s="38" t="s">
        <v>93</v>
      </c>
      <c r="F2" s="22">
        <v>74000</v>
      </c>
      <c r="G2" s="38" t="s">
        <v>137</v>
      </c>
      <c r="H2" s="179">
        <v>43544</v>
      </c>
      <c r="I2" s="38" t="s">
        <v>139</v>
      </c>
      <c r="J2" s="38" t="s">
        <v>376</v>
      </c>
      <c r="M2" s="179"/>
      <c r="O2" s="179"/>
      <c r="Q2" s="179"/>
      <c r="R2" s="179"/>
    </row>
    <row r="3" spans="1:18">
      <c r="A3" s="38">
        <v>7810</v>
      </c>
      <c r="B3" s="38" t="s">
        <v>76</v>
      </c>
      <c r="C3" s="179">
        <v>43472</v>
      </c>
      <c r="D3" s="38">
        <v>1</v>
      </c>
      <c r="E3" s="38" t="s">
        <v>93</v>
      </c>
      <c r="F3" s="22">
        <v>-74000</v>
      </c>
      <c r="G3" s="38" t="s">
        <v>137</v>
      </c>
      <c r="H3" s="179">
        <v>43544</v>
      </c>
      <c r="I3" s="38" t="s">
        <v>141</v>
      </c>
      <c r="J3" s="38" t="s">
        <v>376</v>
      </c>
      <c r="M3" s="179"/>
      <c r="O3" s="179"/>
      <c r="Q3" s="179"/>
      <c r="R3" s="179"/>
    </row>
    <row r="4" spans="1:18">
      <c r="A4" s="38">
        <v>7810</v>
      </c>
      <c r="B4" s="38" t="s">
        <v>76</v>
      </c>
      <c r="C4" s="179">
        <v>43472</v>
      </c>
      <c r="D4" s="38">
        <v>2</v>
      </c>
      <c r="E4" s="38" t="s">
        <v>94</v>
      </c>
      <c r="F4" s="22">
        <v>-500000</v>
      </c>
      <c r="G4" s="38" t="s">
        <v>137</v>
      </c>
      <c r="H4" s="179">
        <v>43544</v>
      </c>
      <c r="I4" s="38" t="s">
        <v>141</v>
      </c>
      <c r="J4" s="38" t="s">
        <v>376</v>
      </c>
      <c r="M4" s="179"/>
      <c r="O4" s="179"/>
      <c r="Q4" s="179"/>
      <c r="R4" s="179"/>
    </row>
    <row r="5" spans="1:18">
      <c r="A5" s="38">
        <v>9320</v>
      </c>
      <c r="B5" s="38" t="s">
        <v>82</v>
      </c>
      <c r="C5" s="179">
        <v>43472</v>
      </c>
      <c r="D5" s="38">
        <v>2</v>
      </c>
      <c r="E5" s="38" t="s">
        <v>94</v>
      </c>
      <c r="F5" s="22">
        <v>500000</v>
      </c>
      <c r="G5" s="38" t="s">
        <v>137</v>
      </c>
      <c r="H5" s="179">
        <v>43544</v>
      </c>
      <c r="I5" s="38" t="s">
        <v>142</v>
      </c>
      <c r="J5" s="38" t="s">
        <v>376</v>
      </c>
      <c r="M5" s="179"/>
      <c r="O5" s="179"/>
      <c r="Q5" s="179"/>
      <c r="R5" s="179"/>
    </row>
    <row r="6" spans="1:18">
      <c r="A6" s="38">
        <v>7620</v>
      </c>
      <c r="B6" s="38" t="s">
        <v>72</v>
      </c>
      <c r="C6" s="179">
        <v>43470</v>
      </c>
      <c r="D6" s="38">
        <v>3</v>
      </c>
      <c r="E6" s="38" t="s">
        <v>132</v>
      </c>
      <c r="F6" s="22">
        <v>-200000</v>
      </c>
      <c r="G6" s="38" t="s">
        <v>137</v>
      </c>
      <c r="H6" s="179">
        <v>43544</v>
      </c>
      <c r="I6" s="38" t="s">
        <v>139</v>
      </c>
      <c r="J6" s="38" t="s">
        <v>376</v>
      </c>
      <c r="M6" s="179"/>
      <c r="O6" s="179"/>
      <c r="Q6" s="179"/>
      <c r="R6" s="179"/>
    </row>
    <row r="7" spans="1:18">
      <c r="A7" s="38">
        <v>7810</v>
      </c>
      <c r="B7" s="38" t="s">
        <v>76</v>
      </c>
      <c r="C7" s="179">
        <v>43470</v>
      </c>
      <c r="D7" s="38">
        <v>3</v>
      </c>
      <c r="E7" s="38" t="s">
        <v>132</v>
      </c>
      <c r="F7" s="22">
        <v>200000</v>
      </c>
      <c r="G7" s="38" t="s">
        <v>137</v>
      </c>
      <c r="H7" s="179">
        <v>43544</v>
      </c>
      <c r="I7" s="38" t="s">
        <v>141</v>
      </c>
      <c r="J7" s="38" t="s">
        <v>376</v>
      </c>
      <c r="M7" s="179"/>
      <c r="O7" s="179"/>
      <c r="Q7" s="179"/>
      <c r="R7" s="179"/>
    </row>
    <row r="8" spans="1:18">
      <c r="A8" s="38">
        <v>7620</v>
      </c>
      <c r="B8" s="38" t="s">
        <v>72</v>
      </c>
      <c r="C8" s="179">
        <v>43471</v>
      </c>
      <c r="D8" s="38">
        <v>4</v>
      </c>
      <c r="E8" s="38" t="s">
        <v>133</v>
      </c>
      <c r="F8" s="22">
        <v>-1000000</v>
      </c>
      <c r="G8" s="38" t="s">
        <v>137</v>
      </c>
      <c r="H8" s="179">
        <v>43544</v>
      </c>
      <c r="I8" s="38" t="s">
        <v>139</v>
      </c>
      <c r="J8" s="38" t="s">
        <v>376</v>
      </c>
      <c r="M8" s="179"/>
      <c r="O8" s="179"/>
      <c r="Q8" s="179"/>
      <c r="R8" s="179"/>
    </row>
    <row r="9" spans="1:18">
      <c r="A9" s="38">
        <v>7810</v>
      </c>
      <c r="B9" s="38" t="s">
        <v>76</v>
      </c>
      <c r="C9" s="179">
        <v>43471</v>
      </c>
      <c r="D9" s="38">
        <v>4</v>
      </c>
      <c r="E9" s="38" t="s">
        <v>133</v>
      </c>
      <c r="F9" s="22">
        <v>1000000</v>
      </c>
      <c r="G9" s="38" t="s">
        <v>137</v>
      </c>
      <c r="H9" s="179">
        <v>43544</v>
      </c>
      <c r="I9" s="38" t="s">
        <v>141</v>
      </c>
      <c r="J9" s="38" t="s">
        <v>376</v>
      </c>
      <c r="M9" s="179"/>
      <c r="O9" s="179"/>
      <c r="Q9" s="179"/>
      <c r="R9" s="179"/>
    </row>
    <row r="10" spans="1:18">
      <c r="A10" s="38">
        <v>7620</v>
      </c>
      <c r="B10" s="38" t="s">
        <v>72</v>
      </c>
      <c r="C10" s="179">
        <v>43482</v>
      </c>
      <c r="D10" s="38">
        <v>5</v>
      </c>
      <c r="E10" s="38" t="s">
        <v>113</v>
      </c>
      <c r="F10" s="22">
        <v>-166500</v>
      </c>
      <c r="G10" s="38" t="s">
        <v>137</v>
      </c>
      <c r="H10" s="179">
        <v>43544</v>
      </c>
      <c r="I10" s="38" t="s">
        <v>139</v>
      </c>
      <c r="J10" s="38" t="s">
        <v>376</v>
      </c>
      <c r="M10" s="179"/>
      <c r="O10" s="179"/>
      <c r="Q10" s="179"/>
      <c r="R10" s="179"/>
    </row>
    <row r="11" spans="1:18">
      <c r="A11" s="38">
        <v>7810</v>
      </c>
      <c r="B11" s="38" t="s">
        <v>76</v>
      </c>
      <c r="C11" s="179">
        <v>43482</v>
      </c>
      <c r="D11" s="38">
        <v>5</v>
      </c>
      <c r="E11" s="38" t="s">
        <v>113</v>
      </c>
      <c r="F11" s="22">
        <v>166500</v>
      </c>
      <c r="G11" s="38" t="s">
        <v>137</v>
      </c>
      <c r="H11" s="179">
        <v>43544</v>
      </c>
      <c r="I11" s="38" t="s">
        <v>141</v>
      </c>
      <c r="J11" s="38" t="s">
        <v>376</v>
      </c>
      <c r="M11" s="179"/>
      <c r="O11" s="179"/>
      <c r="Q11" s="179"/>
      <c r="R11" s="179"/>
    </row>
    <row r="12" spans="1:18">
      <c r="A12" s="38">
        <v>4581</v>
      </c>
      <c r="B12" s="38" t="s">
        <v>105</v>
      </c>
      <c r="C12" s="179">
        <v>43480</v>
      </c>
      <c r="D12" s="38">
        <v>6</v>
      </c>
      <c r="E12" s="38" t="s">
        <v>106</v>
      </c>
      <c r="F12" s="22">
        <v>5000</v>
      </c>
      <c r="G12" s="38" t="s">
        <v>137</v>
      </c>
      <c r="H12" s="179">
        <v>43544</v>
      </c>
      <c r="I12" s="38" t="s">
        <v>377</v>
      </c>
      <c r="J12" s="38" t="s">
        <v>375</v>
      </c>
      <c r="M12" s="179"/>
      <c r="O12" s="179"/>
      <c r="Q12" s="179"/>
      <c r="R12" s="179"/>
    </row>
    <row r="13" spans="1:18">
      <c r="A13" s="38">
        <v>4581</v>
      </c>
      <c r="B13" s="38" t="s">
        <v>105</v>
      </c>
      <c r="C13" s="179">
        <v>43480</v>
      </c>
      <c r="D13" s="38">
        <v>6</v>
      </c>
      <c r="E13" s="38" t="s">
        <v>107</v>
      </c>
      <c r="F13" s="22">
        <v>6275</v>
      </c>
      <c r="G13" s="38" t="s">
        <v>137</v>
      </c>
      <c r="H13" s="179">
        <v>43544</v>
      </c>
      <c r="I13" s="38" t="s">
        <v>377</v>
      </c>
      <c r="J13" s="38" t="s">
        <v>375</v>
      </c>
      <c r="M13" s="179"/>
      <c r="O13" s="179"/>
      <c r="Q13" s="179"/>
      <c r="R13" s="179"/>
    </row>
    <row r="14" spans="1:18">
      <c r="A14" s="38">
        <v>6200</v>
      </c>
      <c r="B14" s="38" t="s">
        <v>21</v>
      </c>
      <c r="C14" s="179">
        <v>43480</v>
      </c>
      <c r="D14" s="38">
        <v>6</v>
      </c>
      <c r="E14" s="38" t="s">
        <v>108</v>
      </c>
      <c r="F14" s="22">
        <v>751</v>
      </c>
      <c r="G14" s="38" t="s">
        <v>137</v>
      </c>
      <c r="H14" s="179">
        <v>43544</v>
      </c>
      <c r="I14" s="38" t="s">
        <v>378</v>
      </c>
      <c r="J14" s="38" t="s">
        <v>375</v>
      </c>
      <c r="M14" s="179"/>
      <c r="O14" s="179"/>
      <c r="Q14" s="179"/>
      <c r="R14" s="179"/>
    </row>
    <row r="15" spans="1:18">
      <c r="A15" s="38">
        <v>6200</v>
      </c>
      <c r="B15" s="38" t="s">
        <v>21</v>
      </c>
      <c r="C15" s="179">
        <v>43480</v>
      </c>
      <c r="D15" s="38">
        <v>6</v>
      </c>
      <c r="E15" s="38" t="s">
        <v>64</v>
      </c>
      <c r="F15" s="22">
        <v>723</v>
      </c>
      <c r="G15" s="38" t="s">
        <v>137</v>
      </c>
      <c r="H15" s="179">
        <v>43544</v>
      </c>
      <c r="I15" s="38" t="s">
        <v>378</v>
      </c>
      <c r="J15" s="38" t="s">
        <v>375</v>
      </c>
      <c r="M15" s="179"/>
      <c r="O15" s="179"/>
      <c r="Q15" s="179"/>
      <c r="R15" s="179"/>
    </row>
    <row r="16" spans="1:18">
      <c r="A16" s="38">
        <v>6200</v>
      </c>
      <c r="B16" s="38" t="s">
        <v>21</v>
      </c>
      <c r="C16" s="179">
        <v>43480</v>
      </c>
      <c r="D16" s="38">
        <v>6</v>
      </c>
      <c r="E16" s="38" t="s">
        <v>64</v>
      </c>
      <c r="F16" s="22">
        <v>849</v>
      </c>
      <c r="G16" s="38" t="s">
        <v>137</v>
      </c>
      <c r="H16" s="179">
        <v>43544</v>
      </c>
      <c r="I16" s="38" t="s">
        <v>378</v>
      </c>
      <c r="J16" s="38" t="s">
        <v>375</v>
      </c>
      <c r="M16" s="179"/>
      <c r="O16" s="179"/>
      <c r="Q16" s="179"/>
      <c r="R16" s="179"/>
    </row>
    <row r="17" spans="1:18">
      <c r="A17" s="38">
        <v>6200</v>
      </c>
      <c r="B17" s="38" t="s">
        <v>21</v>
      </c>
      <c r="C17" s="179">
        <v>43480</v>
      </c>
      <c r="D17" s="38">
        <v>6</v>
      </c>
      <c r="E17" s="38" t="s">
        <v>109</v>
      </c>
      <c r="F17" s="22">
        <v>11974</v>
      </c>
      <c r="G17" s="38" t="s">
        <v>137</v>
      </c>
      <c r="H17" s="179">
        <v>43544</v>
      </c>
      <c r="I17" s="38" t="s">
        <v>378</v>
      </c>
      <c r="J17" s="38" t="s">
        <v>375</v>
      </c>
      <c r="M17" s="179"/>
      <c r="O17" s="179"/>
      <c r="Q17" s="179"/>
      <c r="R17" s="179"/>
    </row>
    <row r="18" spans="1:18">
      <c r="A18" s="38">
        <v>6200</v>
      </c>
      <c r="B18" s="38" t="s">
        <v>21</v>
      </c>
      <c r="C18" s="179">
        <v>43480</v>
      </c>
      <c r="D18" s="38">
        <v>6</v>
      </c>
      <c r="E18" s="38" t="s">
        <v>135</v>
      </c>
      <c r="F18" s="22">
        <v>339</v>
      </c>
      <c r="G18" s="38" t="s">
        <v>137</v>
      </c>
      <c r="H18" s="179">
        <v>43544</v>
      </c>
      <c r="I18" s="38" t="s">
        <v>378</v>
      </c>
      <c r="J18" s="38" t="s">
        <v>375</v>
      </c>
      <c r="M18" s="179"/>
      <c r="O18" s="179"/>
      <c r="Q18" s="179"/>
      <c r="R18" s="179"/>
    </row>
    <row r="19" spans="1:18">
      <c r="A19" s="38">
        <v>7620</v>
      </c>
      <c r="B19" s="38" t="s">
        <v>72</v>
      </c>
      <c r="C19" s="179">
        <v>43480</v>
      </c>
      <c r="D19" s="38">
        <v>6</v>
      </c>
      <c r="E19" s="38" t="s">
        <v>110</v>
      </c>
      <c r="F19" s="22">
        <v>6018</v>
      </c>
      <c r="G19" s="38" t="s">
        <v>137</v>
      </c>
      <c r="H19" s="179">
        <v>43544</v>
      </c>
      <c r="I19" s="38" t="s">
        <v>139</v>
      </c>
      <c r="J19" s="38" t="s">
        <v>376</v>
      </c>
      <c r="M19" s="179"/>
      <c r="O19" s="179"/>
      <c r="Q19" s="179"/>
      <c r="R19" s="179"/>
    </row>
    <row r="20" spans="1:18">
      <c r="A20" s="38">
        <v>7620</v>
      </c>
      <c r="B20" s="38" t="s">
        <v>72</v>
      </c>
      <c r="C20" s="179">
        <v>43480</v>
      </c>
      <c r="D20" s="38">
        <v>6</v>
      </c>
      <c r="E20" s="38" t="s">
        <v>110</v>
      </c>
      <c r="F20" s="22">
        <v>5785</v>
      </c>
      <c r="G20" s="38" t="s">
        <v>137</v>
      </c>
      <c r="H20" s="179">
        <v>43544</v>
      </c>
      <c r="I20" s="38" t="s">
        <v>139</v>
      </c>
      <c r="J20" s="38" t="s">
        <v>376</v>
      </c>
      <c r="M20" s="179"/>
      <c r="O20" s="179"/>
      <c r="Q20" s="179"/>
      <c r="R20" s="179"/>
    </row>
    <row r="21" spans="1:18">
      <c r="A21" s="38">
        <v>7810</v>
      </c>
      <c r="B21" s="38" t="s">
        <v>76</v>
      </c>
      <c r="C21" s="179">
        <v>43480</v>
      </c>
      <c r="D21" s="38">
        <v>6</v>
      </c>
      <c r="E21" s="38" t="s">
        <v>111</v>
      </c>
      <c r="F21" s="22">
        <v>-142040</v>
      </c>
      <c r="G21" s="38" t="s">
        <v>137</v>
      </c>
      <c r="H21" s="179">
        <v>43544</v>
      </c>
      <c r="I21" s="38" t="s">
        <v>141</v>
      </c>
      <c r="J21" s="38" t="s">
        <v>376</v>
      </c>
      <c r="M21" s="179"/>
      <c r="O21" s="179"/>
      <c r="Q21" s="179"/>
      <c r="R21" s="179"/>
    </row>
    <row r="22" spans="1:18">
      <c r="A22" s="38">
        <v>9320</v>
      </c>
      <c r="B22" s="38" t="s">
        <v>82</v>
      </c>
      <c r="C22" s="179">
        <v>43480</v>
      </c>
      <c r="D22" s="38">
        <v>6</v>
      </c>
      <c r="E22" s="38" t="s">
        <v>64</v>
      </c>
      <c r="F22" s="22">
        <v>5011</v>
      </c>
      <c r="G22" s="38" t="s">
        <v>137</v>
      </c>
      <c r="H22" s="179">
        <v>43544</v>
      </c>
      <c r="I22" s="38" t="s">
        <v>142</v>
      </c>
      <c r="J22" s="38" t="s">
        <v>376</v>
      </c>
      <c r="M22" s="179"/>
      <c r="O22" s="179"/>
      <c r="Q22" s="179"/>
      <c r="R22" s="179"/>
    </row>
    <row r="23" spans="1:18">
      <c r="A23" s="38">
        <v>9320</v>
      </c>
      <c r="B23" s="38" t="s">
        <v>82</v>
      </c>
      <c r="C23" s="179">
        <v>43480</v>
      </c>
      <c r="D23" s="38">
        <v>6</v>
      </c>
      <c r="E23" s="38" t="s">
        <v>64</v>
      </c>
      <c r="F23" s="22">
        <v>24290</v>
      </c>
      <c r="G23" s="38" t="s">
        <v>137</v>
      </c>
      <c r="H23" s="179">
        <v>43544</v>
      </c>
      <c r="I23" s="38" t="s">
        <v>142</v>
      </c>
      <c r="J23" s="38" t="s">
        <v>376</v>
      </c>
      <c r="M23" s="179"/>
      <c r="O23" s="179"/>
      <c r="Q23" s="179"/>
      <c r="R23" s="179"/>
    </row>
    <row r="24" spans="1:18">
      <c r="A24" s="38">
        <v>9320</v>
      </c>
      <c r="B24" s="38" t="s">
        <v>82</v>
      </c>
      <c r="C24" s="179">
        <v>43480</v>
      </c>
      <c r="D24" s="38">
        <v>6</v>
      </c>
      <c r="E24" s="38" t="s">
        <v>68</v>
      </c>
      <c r="F24" s="22">
        <v>11770</v>
      </c>
      <c r="G24" s="38" t="s">
        <v>137</v>
      </c>
      <c r="H24" s="179">
        <v>43544</v>
      </c>
      <c r="I24" s="38" t="s">
        <v>142</v>
      </c>
      <c r="J24" s="38" t="s">
        <v>376</v>
      </c>
      <c r="M24" s="179"/>
      <c r="O24" s="179"/>
      <c r="Q24" s="179"/>
      <c r="R24" s="179"/>
    </row>
    <row r="25" spans="1:18">
      <c r="A25" s="38">
        <v>9320</v>
      </c>
      <c r="B25" s="38" t="s">
        <v>82</v>
      </c>
      <c r="C25" s="179">
        <v>43480</v>
      </c>
      <c r="D25" s="38">
        <v>6</v>
      </c>
      <c r="E25" s="38" t="s">
        <v>135</v>
      </c>
      <c r="F25" s="22">
        <v>10925</v>
      </c>
      <c r="G25" s="38" t="s">
        <v>137</v>
      </c>
      <c r="H25" s="179">
        <v>43544</v>
      </c>
      <c r="I25" s="38" t="s">
        <v>142</v>
      </c>
      <c r="J25" s="38" t="s">
        <v>376</v>
      </c>
      <c r="M25" s="179"/>
      <c r="O25" s="179"/>
      <c r="Q25" s="179"/>
      <c r="R25" s="179"/>
    </row>
    <row r="26" spans="1:18">
      <c r="A26" s="38">
        <v>9630</v>
      </c>
      <c r="B26" s="38" t="s">
        <v>112</v>
      </c>
      <c r="C26" s="179">
        <v>43480</v>
      </c>
      <c r="D26" s="38">
        <v>6</v>
      </c>
      <c r="E26" s="38" t="s">
        <v>108</v>
      </c>
      <c r="F26" s="22">
        <v>52330</v>
      </c>
      <c r="G26" s="38" t="s">
        <v>137</v>
      </c>
      <c r="H26" s="179">
        <v>43544</v>
      </c>
      <c r="I26" s="38" t="s">
        <v>143</v>
      </c>
      <c r="J26" s="38" t="s">
        <v>376</v>
      </c>
      <c r="M26" s="179"/>
      <c r="O26" s="179"/>
      <c r="Q26" s="179"/>
      <c r="R26" s="179"/>
    </row>
    <row r="27" spans="1:18">
      <c r="A27" s="38">
        <v>4410</v>
      </c>
      <c r="B27" s="38" t="s">
        <v>63</v>
      </c>
      <c r="C27" s="179">
        <v>43466</v>
      </c>
      <c r="D27" s="38">
        <v>7</v>
      </c>
      <c r="E27" s="38" t="s">
        <v>64</v>
      </c>
      <c r="F27" s="22">
        <v>21584</v>
      </c>
      <c r="G27" s="38" t="s">
        <v>137</v>
      </c>
      <c r="H27" s="179">
        <v>43544</v>
      </c>
      <c r="I27" s="38" t="s">
        <v>377</v>
      </c>
      <c r="J27" s="38" t="s">
        <v>375</v>
      </c>
      <c r="M27" s="179"/>
      <c r="O27" s="179"/>
      <c r="Q27" s="179"/>
      <c r="R27" s="179"/>
    </row>
    <row r="28" spans="1:18">
      <c r="A28" s="38">
        <v>9320</v>
      </c>
      <c r="B28" s="38" t="s">
        <v>82</v>
      </c>
      <c r="C28" s="179">
        <v>43466</v>
      </c>
      <c r="D28" s="38">
        <v>7</v>
      </c>
      <c r="E28" s="38" t="s">
        <v>64</v>
      </c>
      <c r="F28" s="22">
        <v>-26764</v>
      </c>
      <c r="G28" s="38" t="s">
        <v>137</v>
      </c>
      <c r="H28" s="179">
        <v>43544</v>
      </c>
      <c r="I28" s="38" t="s">
        <v>142</v>
      </c>
      <c r="J28" s="38" t="s">
        <v>376</v>
      </c>
      <c r="M28" s="179"/>
      <c r="O28" s="179"/>
      <c r="Q28" s="179"/>
      <c r="R28" s="179"/>
    </row>
    <row r="29" spans="1:18">
      <c r="A29" s="38">
        <v>9511</v>
      </c>
      <c r="B29" s="38" t="s">
        <v>84</v>
      </c>
      <c r="C29" s="179">
        <v>43466</v>
      </c>
      <c r="D29" s="38">
        <v>7</v>
      </c>
      <c r="E29" s="38" t="s">
        <v>64</v>
      </c>
      <c r="F29" s="22">
        <v>5180</v>
      </c>
      <c r="G29" s="38" t="s">
        <v>137</v>
      </c>
      <c r="H29" s="179">
        <v>43544</v>
      </c>
      <c r="I29" s="38" t="s">
        <v>143</v>
      </c>
      <c r="J29" s="38" t="s">
        <v>376</v>
      </c>
      <c r="M29" s="179"/>
      <c r="O29" s="179"/>
      <c r="Q29" s="179"/>
      <c r="R29" s="179"/>
    </row>
    <row r="30" spans="1:18">
      <c r="A30" s="38">
        <v>7620</v>
      </c>
      <c r="B30" s="38" t="s">
        <v>72</v>
      </c>
      <c r="C30" s="179">
        <v>43479</v>
      </c>
      <c r="D30" s="38">
        <v>8</v>
      </c>
      <c r="E30" s="38" t="s">
        <v>104</v>
      </c>
      <c r="F30" s="22">
        <v>-293396</v>
      </c>
      <c r="G30" s="38" t="s">
        <v>137</v>
      </c>
      <c r="H30" s="179">
        <v>43544</v>
      </c>
      <c r="I30" s="38" t="s">
        <v>139</v>
      </c>
      <c r="J30" s="38" t="s">
        <v>376</v>
      </c>
      <c r="M30" s="179"/>
      <c r="O30" s="179"/>
      <c r="Q30" s="179"/>
      <c r="R30" s="179"/>
    </row>
    <row r="31" spans="1:18">
      <c r="A31" s="38">
        <v>7840</v>
      </c>
      <c r="B31" s="38" t="s">
        <v>78</v>
      </c>
      <c r="C31" s="179">
        <v>43479</v>
      </c>
      <c r="D31" s="38">
        <v>8</v>
      </c>
      <c r="E31" s="38" t="s">
        <v>104</v>
      </c>
      <c r="F31" s="22">
        <v>293396</v>
      </c>
      <c r="G31" s="38" t="s">
        <v>137</v>
      </c>
      <c r="H31" s="179">
        <v>43544</v>
      </c>
      <c r="I31" s="38" t="s">
        <v>141</v>
      </c>
      <c r="J31" s="38" t="s">
        <v>376</v>
      </c>
      <c r="M31" s="179"/>
      <c r="O31" s="179"/>
      <c r="Q31" s="179"/>
      <c r="R31" s="179"/>
    </row>
    <row r="32" spans="1:18">
      <c r="A32" s="38">
        <v>4650</v>
      </c>
      <c r="B32" s="38" t="s">
        <v>87</v>
      </c>
      <c r="C32" s="179">
        <v>43479</v>
      </c>
      <c r="D32" s="38">
        <v>9</v>
      </c>
      <c r="E32" s="38" t="s">
        <v>104</v>
      </c>
      <c r="F32" s="22">
        <v>701</v>
      </c>
      <c r="G32" s="38" t="s">
        <v>137</v>
      </c>
      <c r="H32" s="179">
        <v>43544</v>
      </c>
      <c r="I32" s="38" t="s">
        <v>377</v>
      </c>
      <c r="J32" s="38" t="s">
        <v>375</v>
      </c>
      <c r="M32" s="179"/>
      <c r="O32" s="179"/>
      <c r="Q32" s="179"/>
      <c r="R32" s="179"/>
    </row>
    <row r="33" spans="1:18">
      <c r="A33" s="38">
        <v>7840</v>
      </c>
      <c r="B33" s="38" t="s">
        <v>78</v>
      </c>
      <c r="C33" s="179">
        <v>43479</v>
      </c>
      <c r="D33" s="38">
        <v>9</v>
      </c>
      <c r="E33" s="38" t="s">
        <v>104</v>
      </c>
      <c r="F33" s="22">
        <v>-701</v>
      </c>
      <c r="G33" s="38" t="s">
        <v>137</v>
      </c>
      <c r="H33" s="179">
        <v>43544</v>
      </c>
      <c r="I33" s="38" t="s">
        <v>141</v>
      </c>
      <c r="J33" s="38" t="s">
        <v>376</v>
      </c>
      <c r="M33" s="179"/>
      <c r="O33" s="179"/>
      <c r="Q33" s="179"/>
      <c r="R33" s="179"/>
    </row>
    <row r="34" spans="1:18">
      <c r="A34" s="38">
        <v>4315</v>
      </c>
      <c r="B34" s="38" t="s">
        <v>116</v>
      </c>
      <c r="C34" s="179">
        <v>43484</v>
      </c>
      <c r="D34" s="38">
        <v>10</v>
      </c>
      <c r="E34" s="38" t="s">
        <v>117</v>
      </c>
      <c r="F34" s="22">
        <v>4481</v>
      </c>
      <c r="G34" s="38" t="s">
        <v>130</v>
      </c>
      <c r="H34" s="179">
        <v>43549</v>
      </c>
      <c r="I34" s="38" t="s">
        <v>377</v>
      </c>
      <c r="J34" s="38" t="s">
        <v>375</v>
      </c>
      <c r="M34" s="179"/>
      <c r="O34" s="179"/>
      <c r="Q34" s="179"/>
      <c r="R34" s="179"/>
    </row>
    <row r="35" spans="1:18">
      <c r="A35" s="38">
        <v>9325</v>
      </c>
      <c r="B35" s="38" t="s">
        <v>83</v>
      </c>
      <c r="C35" s="179">
        <v>43484</v>
      </c>
      <c r="D35" s="38">
        <v>10</v>
      </c>
      <c r="E35" s="38" t="s">
        <v>117</v>
      </c>
      <c r="F35" s="22">
        <v>-5557</v>
      </c>
      <c r="G35" s="38" t="s">
        <v>130</v>
      </c>
      <c r="H35" s="179">
        <v>43549</v>
      </c>
      <c r="I35" s="38" t="s">
        <v>143</v>
      </c>
      <c r="J35" s="38" t="s">
        <v>376</v>
      </c>
      <c r="M35" s="179"/>
      <c r="O35" s="179"/>
      <c r="Q35" s="179"/>
      <c r="R35" s="179"/>
    </row>
    <row r="36" spans="1:18">
      <c r="A36" s="38">
        <v>9511</v>
      </c>
      <c r="B36" s="38" t="s">
        <v>84</v>
      </c>
      <c r="C36" s="179">
        <v>43484</v>
      </c>
      <c r="D36" s="38">
        <v>10</v>
      </c>
      <c r="E36" s="38" t="s">
        <v>117</v>
      </c>
      <c r="F36" s="22">
        <v>1076</v>
      </c>
      <c r="G36" s="38" t="s">
        <v>130</v>
      </c>
      <c r="H36" s="179">
        <v>43549</v>
      </c>
      <c r="I36" s="38" t="s">
        <v>143</v>
      </c>
      <c r="J36" s="38" t="s">
        <v>376</v>
      </c>
      <c r="M36" s="179"/>
      <c r="O36" s="179"/>
      <c r="Q36" s="179"/>
      <c r="R36" s="179"/>
    </row>
    <row r="37" spans="1:18">
      <c r="A37" s="38">
        <v>4480</v>
      </c>
      <c r="B37" s="38" t="s">
        <v>67</v>
      </c>
      <c r="C37" s="179">
        <v>43466</v>
      </c>
      <c r="D37" s="38">
        <v>11</v>
      </c>
      <c r="E37" s="38" t="s">
        <v>68</v>
      </c>
      <c r="F37" s="22">
        <v>9492</v>
      </c>
      <c r="G37" s="38" t="s">
        <v>137</v>
      </c>
      <c r="H37" s="179">
        <v>43549</v>
      </c>
      <c r="I37" s="38" t="s">
        <v>377</v>
      </c>
      <c r="J37" s="38" t="s">
        <v>375</v>
      </c>
      <c r="M37" s="179"/>
      <c r="O37" s="179"/>
      <c r="Q37" s="179"/>
      <c r="R37" s="179"/>
    </row>
    <row r="38" spans="1:18">
      <c r="A38" s="38">
        <v>9320</v>
      </c>
      <c r="B38" s="38" t="s">
        <v>82</v>
      </c>
      <c r="C38" s="179">
        <v>43466</v>
      </c>
      <c r="D38" s="38">
        <v>11</v>
      </c>
      <c r="E38" s="38" t="s">
        <v>68</v>
      </c>
      <c r="F38" s="22">
        <v>-11770</v>
      </c>
      <c r="G38" s="38" t="s">
        <v>137</v>
      </c>
      <c r="H38" s="179">
        <v>43549</v>
      </c>
      <c r="I38" s="38" t="s">
        <v>142</v>
      </c>
      <c r="J38" s="38" t="s">
        <v>376</v>
      </c>
      <c r="M38" s="179"/>
      <c r="O38" s="179"/>
      <c r="Q38" s="179"/>
      <c r="R38" s="179"/>
    </row>
    <row r="39" spans="1:18">
      <c r="A39" s="38">
        <v>9511</v>
      </c>
      <c r="B39" s="38" t="s">
        <v>84</v>
      </c>
      <c r="C39" s="179">
        <v>43466</v>
      </c>
      <c r="D39" s="38">
        <v>11</v>
      </c>
      <c r="E39" s="38" t="s">
        <v>68</v>
      </c>
      <c r="F39" s="22">
        <v>2278</v>
      </c>
      <c r="G39" s="38" t="s">
        <v>137</v>
      </c>
      <c r="H39" s="179">
        <v>43549</v>
      </c>
      <c r="I39" s="38" t="s">
        <v>143</v>
      </c>
      <c r="J39" s="38" t="s">
        <v>376</v>
      </c>
      <c r="M39" s="179"/>
      <c r="O39" s="179"/>
      <c r="Q39" s="179"/>
      <c r="R39" s="179"/>
    </row>
    <row r="40" spans="1:18">
      <c r="A40" s="38">
        <v>4335</v>
      </c>
      <c r="B40" s="38" t="s">
        <v>62</v>
      </c>
      <c r="C40" s="179">
        <v>43466</v>
      </c>
      <c r="D40" s="38">
        <v>12</v>
      </c>
      <c r="E40" s="38" t="s">
        <v>136</v>
      </c>
      <c r="F40" s="22">
        <v>-14567</v>
      </c>
      <c r="G40" s="38" t="s">
        <v>137</v>
      </c>
      <c r="H40" s="179">
        <v>43549</v>
      </c>
      <c r="I40" s="38" t="s">
        <v>377</v>
      </c>
      <c r="J40" s="38" t="s">
        <v>375</v>
      </c>
      <c r="M40" s="179"/>
      <c r="O40" s="179"/>
      <c r="Q40" s="179"/>
      <c r="R40" s="179"/>
    </row>
    <row r="41" spans="1:18">
      <c r="A41" s="38">
        <v>9320</v>
      </c>
      <c r="B41" s="38" t="s">
        <v>82</v>
      </c>
      <c r="C41" s="179">
        <v>43466</v>
      </c>
      <c r="D41" s="38">
        <v>12</v>
      </c>
      <c r="E41" s="38" t="s">
        <v>136</v>
      </c>
      <c r="F41" s="22">
        <v>14567</v>
      </c>
      <c r="G41" s="38" t="s">
        <v>137</v>
      </c>
      <c r="H41" s="179">
        <v>43549</v>
      </c>
      <c r="I41" s="38" t="s">
        <v>142</v>
      </c>
      <c r="J41" s="38" t="s">
        <v>376</v>
      </c>
      <c r="M41" s="179"/>
      <c r="O41" s="179"/>
      <c r="Q41" s="179"/>
      <c r="R41" s="179"/>
    </row>
    <row r="42" spans="1:18">
      <c r="A42" s="38">
        <v>7810</v>
      </c>
      <c r="B42" s="38" t="s">
        <v>76</v>
      </c>
      <c r="C42" s="179">
        <v>43485</v>
      </c>
      <c r="D42" s="38">
        <v>13</v>
      </c>
      <c r="E42" s="38" t="s">
        <v>118</v>
      </c>
      <c r="F42" s="22">
        <v>289636</v>
      </c>
      <c r="G42" s="38" t="s">
        <v>130</v>
      </c>
      <c r="H42" s="179">
        <v>43549</v>
      </c>
      <c r="I42" s="38" t="s">
        <v>141</v>
      </c>
      <c r="J42" s="38" t="s">
        <v>376</v>
      </c>
      <c r="M42" s="179"/>
      <c r="O42" s="179"/>
      <c r="Q42" s="179"/>
      <c r="R42" s="179"/>
    </row>
    <row r="43" spans="1:18">
      <c r="A43" s="38">
        <v>7840</v>
      </c>
      <c r="B43" s="38" t="s">
        <v>78</v>
      </c>
      <c r="C43" s="179">
        <v>43485</v>
      </c>
      <c r="D43" s="38">
        <v>13</v>
      </c>
      <c r="E43" s="38" t="s">
        <v>118</v>
      </c>
      <c r="F43" s="22">
        <v>-289636</v>
      </c>
      <c r="G43" s="38" t="s">
        <v>130</v>
      </c>
      <c r="H43" s="179">
        <v>43549</v>
      </c>
      <c r="I43" s="38" t="s">
        <v>141</v>
      </c>
      <c r="J43" s="38" t="s">
        <v>376</v>
      </c>
      <c r="M43" s="179"/>
      <c r="O43" s="179"/>
      <c r="Q43" s="179"/>
      <c r="R43" s="179"/>
    </row>
    <row r="44" spans="1:18">
      <c r="A44" s="38">
        <v>7810</v>
      </c>
      <c r="B44" s="38" t="s">
        <v>76</v>
      </c>
      <c r="C44" s="179">
        <v>43489</v>
      </c>
      <c r="D44" s="38">
        <v>14</v>
      </c>
      <c r="E44" s="38" t="s">
        <v>121</v>
      </c>
      <c r="F44" s="22">
        <v>-20000</v>
      </c>
      <c r="G44" s="38" t="s">
        <v>130</v>
      </c>
      <c r="H44" s="179">
        <v>43549</v>
      </c>
      <c r="I44" s="38" t="s">
        <v>141</v>
      </c>
      <c r="J44" s="38" t="s">
        <v>376</v>
      </c>
      <c r="M44" s="179"/>
      <c r="O44" s="179"/>
      <c r="Q44" s="179"/>
      <c r="R44" s="179"/>
    </row>
    <row r="45" spans="1:18">
      <c r="A45" s="38">
        <v>9320</v>
      </c>
      <c r="B45" s="38" t="s">
        <v>82</v>
      </c>
      <c r="C45" s="179">
        <v>43489</v>
      </c>
      <c r="D45" s="38">
        <v>14</v>
      </c>
      <c r="E45" s="38" t="s">
        <v>121</v>
      </c>
      <c r="F45" s="22">
        <v>20000</v>
      </c>
      <c r="G45" s="38" t="s">
        <v>130</v>
      </c>
      <c r="H45" s="179">
        <v>43549</v>
      </c>
      <c r="I45" s="38" t="s">
        <v>142</v>
      </c>
      <c r="J45" s="38" t="s">
        <v>376</v>
      </c>
      <c r="M45" s="179"/>
      <c r="O45" s="179"/>
      <c r="Q45" s="179"/>
      <c r="R45" s="179"/>
    </row>
    <row r="46" spans="1:18">
      <c r="A46" s="38">
        <v>6200</v>
      </c>
      <c r="B46" s="38" t="s">
        <v>21</v>
      </c>
      <c r="C46" s="179">
        <v>43489</v>
      </c>
      <c r="D46" s="38">
        <v>15</v>
      </c>
      <c r="E46" s="38" t="s">
        <v>120</v>
      </c>
      <c r="F46" s="22">
        <v>23477</v>
      </c>
      <c r="G46" s="38" t="s">
        <v>130</v>
      </c>
      <c r="H46" s="179">
        <v>43549</v>
      </c>
      <c r="I46" s="38" t="s">
        <v>378</v>
      </c>
      <c r="J46" s="38" t="s">
        <v>375</v>
      </c>
      <c r="M46" s="179"/>
      <c r="O46" s="179"/>
      <c r="Q46" s="179"/>
      <c r="R46" s="179"/>
    </row>
    <row r="47" spans="1:18">
      <c r="A47" s="38">
        <v>6220</v>
      </c>
      <c r="B47" s="38" t="s">
        <v>45</v>
      </c>
      <c r="C47" s="179">
        <v>43489</v>
      </c>
      <c r="D47" s="38">
        <v>15</v>
      </c>
      <c r="E47" s="38" t="s">
        <v>120</v>
      </c>
      <c r="F47" s="22">
        <v>1924</v>
      </c>
      <c r="G47" s="38" t="s">
        <v>130</v>
      </c>
      <c r="H47" s="179">
        <v>43549</v>
      </c>
      <c r="I47" s="38" t="s">
        <v>378</v>
      </c>
      <c r="J47" s="38" t="s">
        <v>375</v>
      </c>
      <c r="M47" s="179"/>
      <c r="O47" s="179"/>
      <c r="Q47" s="179"/>
      <c r="R47" s="179"/>
    </row>
    <row r="48" spans="1:18">
      <c r="A48" s="38">
        <v>7810</v>
      </c>
      <c r="B48" s="38" t="s">
        <v>76</v>
      </c>
      <c r="C48" s="179">
        <v>43489</v>
      </c>
      <c r="D48" s="38">
        <v>15</v>
      </c>
      <c r="E48" s="38" t="s">
        <v>120</v>
      </c>
      <c r="F48" s="22">
        <v>-126848</v>
      </c>
      <c r="G48" s="38" t="s">
        <v>130</v>
      </c>
      <c r="H48" s="179">
        <v>43549</v>
      </c>
      <c r="I48" s="38" t="s">
        <v>141</v>
      </c>
      <c r="J48" s="38" t="s">
        <v>376</v>
      </c>
      <c r="M48" s="179"/>
      <c r="O48" s="179"/>
      <c r="Q48" s="179"/>
      <c r="R48" s="179"/>
    </row>
    <row r="49" spans="1:18">
      <c r="A49" s="38">
        <v>8730</v>
      </c>
      <c r="B49" s="38" t="s">
        <v>81</v>
      </c>
      <c r="C49" s="179">
        <v>43489</v>
      </c>
      <c r="D49" s="38">
        <v>15</v>
      </c>
      <c r="E49" s="38" t="s">
        <v>120</v>
      </c>
      <c r="F49" s="22">
        <v>101447</v>
      </c>
      <c r="G49" s="38" t="s">
        <v>130</v>
      </c>
      <c r="H49" s="179">
        <v>43549</v>
      </c>
      <c r="I49" s="38" t="s">
        <v>155</v>
      </c>
      <c r="J49" s="38" t="s">
        <v>376</v>
      </c>
      <c r="M49" s="179"/>
      <c r="O49" s="179"/>
      <c r="Q49" s="179"/>
      <c r="R49" s="179"/>
    </row>
    <row r="50" spans="1:18">
      <c r="A50" s="38">
        <v>7620</v>
      </c>
      <c r="B50" s="38" t="s">
        <v>72</v>
      </c>
      <c r="C50" s="179">
        <v>43495</v>
      </c>
      <c r="D50" s="38">
        <v>16</v>
      </c>
      <c r="E50" s="38" t="s">
        <v>131</v>
      </c>
      <c r="F50" s="22">
        <v>-920000</v>
      </c>
      <c r="G50" s="38" t="s">
        <v>130</v>
      </c>
      <c r="H50" s="179">
        <v>43549</v>
      </c>
      <c r="I50" s="38" t="s">
        <v>139</v>
      </c>
      <c r="J50" s="38" t="s">
        <v>376</v>
      </c>
      <c r="M50" s="179"/>
      <c r="O50" s="179"/>
      <c r="Q50" s="179"/>
      <c r="R50" s="179"/>
    </row>
    <row r="51" spans="1:18">
      <c r="A51" s="38">
        <v>7810</v>
      </c>
      <c r="B51" s="38" t="s">
        <v>76</v>
      </c>
      <c r="C51" s="179">
        <v>43495</v>
      </c>
      <c r="D51" s="38">
        <v>16</v>
      </c>
      <c r="E51" s="38" t="s">
        <v>131</v>
      </c>
      <c r="F51" s="22">
        <v>920000</v>
      </c>
      <c r="G51" s="38" t="s">
        <v>130</v>
      </c>
      <c r="H51" s="179">
        <v>43549</v>
      </c>
      <c r="I51" s="38" t="s">
        <v>141</v>
      </c>
      <c r="J51" s="38" t="s">
        <v>376</v>
      </c>
      <c r="M51" s="179"/>
      <c r="O51" s="179"/>
      <c r="Q51" s="179"/>
      <c r="R51" s="179"/>
    </row>
    <row r="52" spans="1:18">
      <c r="A52" s="38">
        <v>7810</v>
      </c>
      <c r="B52" s="38" t="s">
        <v>76</v>
      </c>
      <c r="C52" s="179">
        <v>43495</v>
      </c>
      <c r="D52" s="38">
        <v>17</v>
      </c>
      <c r="E52" s="38" t="s">
        <v>134</v>
      </c>
      <c r="F52" s="22">
        <v>-904227</v>
      </c>
      <c r="G52" s="38" t="s">
        <v>130</v>
      </c>
      <c r="H52" s="179">
        <v>43549</v>
      </c>
      <c r="I52" s="38" t="s">
        <v>141</v>
      </c>
      <c r="J52" s="38" t="s">
        <v>376</v>
      </c>
      <c r="M52" s="179"/>
      <c r="O52" s="179"/>
      <c r="Q52" s="179"/>
      <c r="R52" s="179"/>
    </row>
    <row r="53" spans="1:18">
      <c r="A53" s="38">
        <v>9320</v>
      </c>
      <c r="B53" s="38" t="s">
        <v>82</v>
      </c>
      <c r="C53" s="179">
        <v>43495</v>
      </c>
      <c r="D53" s="38">
        <v>17</v>
      </c>
      <c r="E53" s="38" t="s">
        <v>134</v>
      </c>
      <c r="F53" s="22">
        <v>904227</v>
      </c>
      <c r="G53" s="38" t="s">
        <v>130</v>
      </c>
      <c r="H53" s="179">
        <v>43549</v>
      </c>
      <c r="I53" s="38" t="s">
        <v>142</v>
      </c>
      <c r="J53" s="38" t="s">
        <v>376</v>
      </c>
      <c r="M53" s="179"/>
      <c r="O53" s="179"/>
      <c r="Q53" s="179"/>
      <c r="R53" s="179"/>
    </row>
    <row r="54" spans="1:18">
      <c r="A54" s="38">
        <v>3310</v>
      </c>
      <c r="B54" s="38" t="s">
        <v>125</v>
      </c>
      <c r="C54" s="179">
        <v>43494</v>
      </c>
      <c r="D54" s="38">
        <v>19</v>
      </c>
      <c r="E54" s="38" t="s">
        <v>126</v>
      </c>
      <c r="F54" s="22">
        <v>374762</v>
      </c>
      <c r="G54" s="38" t="s">
        <v>130</v>
      </c>
      <c r="H54" s="179">
        <v>43549</v>
      </c>
      <c r="I54" s="38" t="s">
        <v>371</v>
      </c>
      <c r="J54" s="38" t="s">
        <v>375</v>
      </c>
      <c r="M54" s="179"/>
      <c r="O54" s="179"/>
      <c r="Q54" s="179"/>
      <c r="R54" s="179"/>
    </row>
    <row r="55" spans="1:18">
      <c r="A55" s="38">
        <v>4145</v>
      </c>
      <c r="B55" s="38" t="s">
        <v>127</v>
      </c>
      <c r="C55" s="179">
        <v>43494</v>
      </c>
      <c r="D55" s="38">
        <v>19</v>
      </c>
      <c r="E55" s="38" t="s">
        <v>126</v>
      </c>
      <c r="F55" s="22">
        <v>47320</v>
      </c>
      <c r="G55" s="38" t="s">
        <v>130</v>
      </c>
      <c r="H55" s="179">
        <v>43549</v>
      </c>
      <c r="I55" s="38" t="s">
        <v>377</v>
      </c>
      <c r="J55" s="38" t="s">
        <v>375</v>
      </c>
      <c r="M55" s="179"/>
      <c r="O55" s="179"/>
      <c r="Q55" s="179"/>
      <c r="R55" s="179"/>
    </row>
    <row r="56" spans="1:18">
      <c r="A56" s="38">
        <v>4335</v>
      </c>
      <c r="B56" s="38" t="s">
        <v>62</v>
      </c>
      <c r="C56" s="179">
        <v>43494</v>
      </c>
      <c r="D56" s="38">
        <v>19</v>
      </c>
      <c r="E56" s="38" t="s">
        <v>126</v>
      </c>
      <c r="F56" s="22">
        <v>95396</v>
      </c>
      <c r="G56" s="38" t="s">
        <v>130</v>
      </c>
      <c r="H56" s="179">
        <v>43549</v>
      </c>
      <c r="I56" s="38" t="s">
        <v>377</v>
      </c>
      <c r="J56" s="38" t="s">
        <v>375</v>
      </c>
      <c r="M56" s="179"/>
      <c r="O56" s="179"/>
      <c r="Q56" s="179"/>
      <c r="R56" s="179"/>
    </row>
    <row r="57" spans="1:18">
      <c r="A57" s="38">
        <v>9320</v>
      </c>
      <c r="B57" s="38" t="s">
        <v>82</v>
      </c>
      <c r="C57" s="179">
        <v>43494</v>
      </c>
      <c r="D57" s="38">
        <v>19</v>
      </c>
      <c r="E57" s="38" t="s">
        <v>126</v>
      </c>
      <c r="F57" s="22">
        <v>-517478</v>
      </c>
      <c r="G57" s="38" t="s">
        <v>130</v>
      </c>
      <c r="H57" s="179">
        <v>43549</v>
      </c>
      <c r="I57" s="38" t="s">
        <v>142</v>
      </c>
      <c r="J57" s="38" t="s">
        <v>376</v>
      </c>
      <c r="M57" s="179"/>
      <c r="O57" s="179"/>
      <c r="Q57" s="179"/>
      <c r="R57" s="179"/>
    </row>
    <row r="58" spans="1:18">
      <c r="A58" s="38">
        <v>4410</v>
      </c>
      <c r="B58" s="38" t="s">
        <v>63</v>
      </c>
      <c r="C58" s="179">
        <v>43496</v>
      </c>
      <c r="D58" s="38">
        <v>24</v>
      </c>
      <c r="E58" s="38" t="s">
        <v>64</v>
      </c>
      <c r="F58" s="22">
        <v>23468</v>
      </c>
      <c r="G58" s="38" t="s">
        <v>130</v>
      </c>
      <c r="H58" s="179">
        <v>43549</v>
      </c>
      <c r="I58" s="38" t="s">
        <v>377</v>
      </c>
      <c r="J58" s="38" t="s">
        <v>375</v>
      </c>
      <c r="M58" s="179"/>
      <c r="O58" s="179"/>
      <c r="Q58" s="179"/>
      <c r="R58" s="179"/>
    </row>
    <row r="59" spans="1:18">
      <c r="A59" s="38">
        <v>9320</v>
      </c>
      <c r="B59" s="38" t="s">
        <v>82</v>
      </c>
      <c r="C59" s="179">
        <v>43496</v>
      </c>
      <c r="D59" s="38">
        <v>24</v>
      </c>
      <c r="E59" s="38" t="s">
        <v>64</v>
      </c>
      <c r="F59" s="22">
        <v>-29100</v>
      </c>
      <c r="G59" s="38" t="s">
        <v>130</v>
      </c>
      <c r="H59" s="179">
        <v>43549</v>
      </c>
      <c r="I59" s="38" t="s">
        <v>142</v>
      </c>
      <c r="J59" s="38" t="s">
        <v>376</v>
      </c>
      <c r="M59" s="179"/>
      <c r="O59" s="179"/>
      <c r="Q59" s="179"/>
      <c r="R59" s="179"/>
    </row>
    <row r="60" spans="1:18">
      <c r="A60" s="38">
        <v>9511</v>
      </c>
      <c r="B60" s="38" t="s">
        <v>84</v>
      </c>
      <c r="C60" s="179">
        <v>43496</v>
      </c>
      <c r="D60" s="38">
        <v>24</v>
      </c>
      <c r="E60" s="38" t="s">
        <v>64</v>
      </c>
      <c r="F60" s="22">
        <v>5632</v>
      </c>
      <c r="G60" s="38" t="s">
        <v>130</v>
      </c>
      <c r="H60" s="179">
        <v>43549</v>
      </c>
      <c r="I60" s="38" t="s">
        <v>143</v>
      </c>
      <c r="J60" s="38" t="s">
        <v>376</v>
      </c>
      <c r="M60" s="179"/>
      <c r="O60" s="179"/>
      <c r="Q60" s="179"/>
      <c r="R60" s="179"/>
    </row>
    <row r="61" spans="1:18">
      <c r="A61" s="38">
        <v>4410</v>
      </c>
      <c r="B61" s="38" t="s">
        <v>63</v>
      </c>
      <c r="C61" s="179">
        <v>43496</v>
      </c>
      <c r="D61" s="38">
        <v>25</v>
      </c>
      <c r="E61" s="38" t="s">
        <v>64</v>
      </c>
      <c r="F61" s="22">
        <v>4151</v>
      </c>
      <c r="G61" s="38" t="s">
        <v>130</v>
      </c>
      <c r="H61" s="179">
        <v>43549</v>
      </c>
      <c r="I61" s="38" t="s">
        <v>377</v>
      </c>
      <c r="J61" s="38" t="s">
        <v>375</v>
      </c>
      <c r="M61" s="179"/>
      <c r="O61" s="179"/>
      <c r="Q61" s="179"/>
      <c r="R61" s="179"/>
    </row>
    <row r="62" spans="1:18">
      <c r="A62" s="38">
        <v>9320</v>
      </c>
      <c r="B62" s="38" t="s">
        <v>82</v>
      </c>
      <c r="C62" s="179">
        <v>43496</v>
      </c>
      <c r="D62" s="38">
        <v>25</v>
      </c>
      <c r="E62" s="38" t="s">
        <v>64</v>
      </c>
      <c r="F62" s="22">
        <v>-5147</v>
      </c>
      <c r="G62" s="38" t="s">
        <v>130</v>
      </c>
      <c r="H62" s="179">
        <v>43549</v>
      </c>
      <c r="I62" s="38" t="s">
        <v>142</v>
      </c>
      <c r="J62" s="38" t="s">
        <v>376</v>
      </c>
      <c r="M62" s="179"/>
      <c r="O62" s="179"/>
      <c r="Q62" s="179"/>
      <c r="R62" s="179"/>
    </row>
    <row r="63" spans="1:18">
      <c r="A63" s="38">
        <v>9511</v>
      </c>
      <c r="B63" s="38" t="s">
        <v>84</v>
      </c>
      <c r="C63" s="179">
        <v>43496</v>
      </c>
      <c r="D63" s="38">
        <v>25</v>
      </c>
      <c r="E63" s="38" t="s">
        <v>64</v>
      </c>
      <c r="F63" s="22">
        <v>996</v>
      </c>
      <c r="G63" s="38" t="s">
        <v>130</v>
      </c>
      <c r="H63" s="179">
        <v>43549</v>
      </c>
      <c r="I63" s="38" t="s">
        <v>143</v>
      </c>
      <c r="J63" s="38" t="s">
        <v>376</v>
      </c>
      <c r="M63" s="179"/>
      <c r="O63" s="179"/>
      <c r="Q63" s="179"/>
      <c r="R63" s="179"/>
    </row>
    <row r="64" spans="1:18">
      <c r="A64" s="38">
        <v>7810</v>
      </c>
      <c r="B64" s="38" t="s">
        <v>76</v>
      </c>
      <c r="C64" s="179">
        <v>43473</v>
      </c>
      <c r="D64" s="38">
        <v>44</v>
      </c>
      <c r="E64" s="38" t="s">
        <v>95</v>
      </c>
      <c r="F64" s="22">
        <v>-443990</v>
      </c>
      <c r="G64" s="38" t="s">
        <v>137</v>
      </c>
      <c r="H64" s="179">
        <v>43549</v>
      </c>
      <c r="I64" s="38" t="s">
        <v>141</v>
      </c>
      <c r="J64" s="38" t="s">
        <v>376</v>
      </c>
      <c r="M64" s="179"/>
      <c r="O64" s="179"/>
      <c r="Q64" s="179"/>
      <c r="R64" s="179"/>
    </row>
    <row r="65" spans="1:18">
      <c r="A65" s="38">
        <v>9320</v>
      </c>
      <c r="B65" s="38" t="s">
        <v>82</v>
      </c>
      <c r="C65" s="179">
        <v>43473</v>
      </c>
      <c r="D65" s="38">
        <v>44</v>
      </c>
      <c r="E65" s="38" t="s">
        <v>95</v>
      </c>
      <c r="F65" s="22">
        <v>443990</v>
      </c>
      <c r="G65" s="38" t="s">
        <v>137</v>
      </c>
      <c r="H65" s="179">
        <v>43549</v>
      </c>
      <c r="I65" s="38" t="s">
        <v>142</v>
      </c>
      <c r="J65" s="38" t="s">
        <v>376</v>
      </c>
      <c r="M65" s="179"/>
      <c r="O65" s="179"/>
      <c r="Q65" s="179"/>
      <c r="R65" s="179"/>
    </row>
    <row r="66" spans="1:18">
      <c r="A66" s="38">
        <v>7810</v>
      </c>
      <c r="B66" s="38" t="s">
        <v>76</v>
      </c>
      <c r="C66" s="179">
        <v>43471</v>
      </c>
      <c r="D66" s="38">
        <v>46</v>
      </c>
      <c r="E66" s="38" t="s">
        <v>89</v>
      </c>
      <c r="F66" s="22">
        <v>-153117</v>
      </c>
      <c r="G66" s="38" t="s">
        <v>137</v>
      </c>
      <c r="H66" s="179">
        <v>43549</v>
      </c>
      <c r="I66" s="38" t="s">
        <v>141</v>
      </c>
      <c r="J66" s="38" t="s">
        <v>376</v>
      </c>
      <c r="M66" s="179"/>
      <c r="O66" s="179"/>
      <c r="Q66" s="179"/>
      <c r="R66" s="179"/>
    </row>
    <row r="67" spans="1:18">
      <c r="A67" s="38">
        <v>9325</v>
      </c>
      <c r="B67" s="38" t="s">
        <v>83</v>
      </c>
      <c r="C67" s="179">
        <v>43471</v>
      </c>
      <c r="D67" s="38">
        <v>46</v>
      </c>
      <c r="E67" s="38" t="s">
        <v>89</v>
      </c>
      <c r="F67" s="22">
        <v>153117</v>
      </c>
      <c r="G67" s="38" t="s">
        <v>137</v>
      </c>
      <c r="H67" s="179">
        <v>43549</v>
      </c>
      <c r="I67" s="38" t="s">
        <v>143</v>
      </c>
      <c r="J67" s="38" t="s">
        <v>376</v>
      </c>
      <c r="M67" s="179"/>
      <c r="O67" s="179"/>
      <c r="Q67" s="179"/>
      <c r="R67" s="179"/>
    </row>
    <row r="68" spans="1:18">
      <c r="A68" s="38">
        <v>4650</v>
      </c>
      <c r="B68" s="38" t="s">
        <v>87</v>
      </c>
      <c r="C68" s="179">
        <v>43471</v>
      </c>
      <c r="D68" s="38">
        <v>47</v>
      </c>
      <c r="E68" s="38" t="s">
        <v>88</v>
      </c>
      <c r="F68" s="22">
        <v>559</v>
      </c>
      <c r="G68" s="38" t="s">
        <v>137</v>
      </c>
      <c r="H68" s="179">
        <v>43549</v>
      </c>
      <c r="I68" s="38" t="s">
        <v>377</v>
      </c>
      <c r="J68" s="38" t="s">
        <v>375</v>
      </c>
      <c r="M68" s="179"/>
      <c r="O68" s="179"/>
      <c r="Q68" s="179"/>
      <c r="R68" s="179"/>
    </row>
    <row r="69" spans="1:18">
      <c r="A69" s="38">
        <v>7810</v>
      </c>
      <c r="B69" s="38" t="s">
        <v>76</v>
      </c>
      <c r="C69" s="179">
        <v>43471</v>
      </c>
      <c r="D69" s="38">
        <v>47</v>
      </c>
      <c r="E69" s="38" t="s">
        <v>88</v>
      </c>
      <c r="F69" s="22">
        <v>-559</v>
      </c>
      <c r="G69" s="38" t="s">
        <v>137</v>
      </c>
      <c r="H69" s="179">
        <v>43549</v>
      </c>
      <c r="I69" s="38" t="s">
        <v>141</v>
      </c>
      <c r="J69" s="38" t="s">
        <v>376</v>
      </c>
      <c r="M69" s="179"/>
      <c r="O69" s="179"/>
      <c r="Q69" s="179"/>
      <c r="R69" s="179"/>
    </row>
    <row r="70" spans="1:18">
      <c r="A70" s="38">
        <v>4330</v>
      </c>
      <c r="B70" s="38" t="s">
        <v>99</v>
      </c>
      <c r="C70" s="179">
        <v>43477</v>
      </c>
      <c r="D70" s="38">
        <v>48</v>
      </c>
      <c r="E70" s="38" t="s">
        <v>100</v>
      </c>
      <c r="F70" s="22">
        <v>12563</v>
      </c>
      <c r="G70" s="38" t="s">
        <v>137</v>
      </c>
      <c r="H70" s="179">
        <v>43549</v>
      </c>
      <c r="I70" s="38" t="s">
        <v>377</v>
      </c>
      <c r="J70" s="38" t="s">
        <v>375</v>
      </c>
      <c r="M70" s="179"/>
      <c r="O70" s="179"/>
      <c r="Q70" s="179"/>
      <c r="R70" s="179"/>
    </row>
    <row r="71" spans="1:18">
      <c r="A71" s="38">
        <v>7810</v>
      </c>
      <c r="B71" s="38" t="s">
        <v>76</v>
      </c>
      <c r="C71" s="179">
        <v>43477</v>
      </c>
      <c r="D71" s="38">
        <v>48</v>
      </c>
      <c r="E71" s="38" t="s">
        <v>100</v>
      </c>
      <c r="F71" s="22">
        <v>-12563</v>
      </c>
      <c r="G71" s="38" t="s">
        <v>137</v>
      </c>
      <c r="H71" s="179">
        <v>43549</v>
      </c>
      <c r="I71" s="38" t="s">
        <v>141</v>
      </c>
      <c r="J71" s="38" t="s">
        <v>376</v>
      </c>
      <c r="M71" s="179"/>
      <c r="O71" s="179"/>
      <c r="Q71" s="179"/>
      <c r="R71" s="179"/>
    </row>
    <row r="72" spans="1:18">
      <c r="A72" s="38">
        <v>4330</v>
      </c>
      <c r="B72" s="38" t="s">
        <v>99</v>
      </c>
      <c r="C72" s="179">
        <v>43477</v>
      </c>
      <c r="D72" s="38">
        <v>49</v>
      </c>
      <c r="E72" s="38" t="s">
        <v>100</v>
      </c>
      <c r="F72" s="22">
        <v>10311</v>
      </c>
      <c r="G72" s="38" t="s">
        <v>137</v>
      </c>
      <c r="H72" s="179">
        <v>43549</v>
      </c>
      <c r="I72" s="38" t="s">
        <v>377</v>
      </c>
      <c r="J72" s="38" t="s">
        <v>375</v>
      </c>
      <c r="M72" s="179"/>
      <c r="O72" s="179"/>
      <c r="Q72" s="179"/>
      <c r="R72" s="179"/>
    </row>
    <row r="73" spans="1:18">
      <c r="A73" s="38">
        <v>7810</v>
      </c>
      <c r="B73" s="38" t="s">
        <v>76</v>
      </c>
      <c r="C73" s="179">
        <v>43477</v>
      </c>
      <c r="D73" s="38">
        <v>49</v>
      </c>
      <c r="E73" s="38" t="s">
        <v>100</v>
      </c>
      <c r="F73" s="22">
        <v>-10311</v>
      </c>
      <c r="G73" s="38" t="s">
        <v>137</v>
      </c>
      <c r="H73" s="179">
        <v>43549</v>
      </c>
      <c r="I73" s="38" t="s">
        <v>141</v>
      </c>
      <c r="J73" s="38" t="s">
        <v>376</v>
      </c>
      <c r="M73" s="179"/>
      <c r="O73" s="179"/>
      <c r="Q73" s="179"/>
      <c r="R73" s="179"/>
    </row>
    <row r="74" spans="1:18">
      <c r="A74" s="38">
        <v>7620</v>
      </c>
      <c r="B74" s="38" t="s">
        <v>72</v>
      </c>
      <c r="C74" s="179">
        <v>43492</v>
      </c>
      <c r="D74" s="38">
        <v>50</v>
      </c>
      <c r="E74" s="38" t="s">
        <v>122</v>
      </c>
      <c r="F74" s="22">
        <v>150000</v>
      </c>
      <c r="G74" s="38" t="s">
        <v>130</v>
      </c>
      <c r="H74" s="179">
        <v>43549</v>
      </c>
      <c r="I74" s="38" t="s">
        <v>139</v>
      </c>
      <c r="J74" s="38" t="s">
        <v>376</v>
      </c>
      <c r="M74" s="179"/>
      <c r="O74" s="179"/>
      <c r="Q74" s="179"/>
      <c r="R74" s="179"/>
    </row>
    <row r="75" spans="1:18">
      <c r="A75" s="38">
        <v>7810</v>
      </c>
      <c r="B75" s="38" t="s">
        <v>76</v>
      </c>
      <c r="C75" s="179">
        <v>43492</v>
      </c>
      <c r="D75" s="38">
        <v>50</v>
      </c>
      <c r="E75" s="38" t="s">
        <v>122</v>
      </c>
      <c r="F75" s="22">
        <v>-150000</v>
      </c>
      <c r="G75" s="38" t="s">
        <v>130</v>
      </c>
      <c r="H75" s="179">
        <v>43549</v>
      </c>
      <c r="I75" s="38" t="s">
        <v>141</v>
      </c>
      <c r="J75" s="38" t="s">
        <v>376</v>
      </c>
      <c r="M75" s="179"/>
      <c r="O75" s="179"/>
      <c r="Q75" s="179"/>
      <c r="R75" s="179"/>
    </row>
    <row r="76" spans="1:18">
      <c r="A76" s="38">
        <v>4330</v>
      </c>
      <c r="B76" s="38" t="s">
        <v>99</v>
      </c>
      <c r="C76" s="179">
        <v>43493</v>
      </c>
      <c r="D76" s="38">
        <v>51</v>
      </c>
      <c r="E76" s="38" t="s">
        <v>100</v>
      </c>
      <c r="F76" s="22">
        <v>11610</v>
      </c>
      <c r="G76" s="38" t="s">
        <v>130</v>
      </c>
      <c r="H76" s="179">
        <v>43549</v>
      </c>
      <c r="I76" s="38" t="s">
        <v>377</v>
      </c>
      <c r="J76" s="38" t="s">
        <v>375</v>
      </c>
      <c r="M76" s="179"/>
      <c r="O76" s="179"/>
      <c r="Q76" s="179"/>
      <c r="R76" s="179"/>
    </row>
    <row r="77" spans="1:18">
      <c r="A77" s="38">
        <v>7810</v>
      </c>
      <c r="B77" s="38" t="s">
        <v>76</v>
      </c>
      <c r="C77" s="179">
        <v>43493</v>
      </c>
      <c r="D77" s="38">
        <v>51</v>
      </c>
      <c r="E77" s="38" t="s">
        <v>100</v>
      </c>
      <c r="F77" s="22">
        <v>-11610</v>
      </c>
      <c r="G77" s="38" t="s">
        <v>130</v>
      </c>
      <c r="H77" s="179">
        <v>43549</v>
      </c>
      <c r="I77" s="38" t="s">
        <v>141</v>
      </c>
      <c r="J77" s="38" t="s">
        <v>376</v>
      </c>
      <c r="M77" s="179"/>
      <c r="O77" s="179"/>
      <c r="Q77" s="179"/>
      <c r="R77" s="179"/>
    </row>
    <row r="78" spans="1:18">
      <c r="A78" s="38">
        <v>4460</v>
      </c>
      <c r="B78" s="38" t="s">
        <v>65</v>
      </c>
      <c r="C78" s="179">
        <v>43466</v>
      </c>
      <c r="D78" s="38">
        <v>87</v>
      </c>
      <c r="E78" s="38" t="s">
        <v>66</v>
      </c>
      <c r="F78" s="22">
        <v>6403</v>
      </c>
      <c r="G78" s="38" t="s">
        <v>137</v>
      </c>
      <c r="H78" s="179">
        <v>43723</v>
      </c>
      <c r="I78" s="38" t="s">
        <v>377</v>
      </c>
      <c r="J78" s="38" t="s">
        <v>375</v>
      </c>
      <c r="M78" s="179"/>
      <c r="O78" s="179"/>
      <c r="Q78" s="179"/>
      <c r="R78" s="179"/>
    </row>
    <row r="79" spans="1:18">
      <c r="A79" s="38">
        <v>9325</v>
      </c>
      <c r="B79" s="38" t="s">
        <v>83</v>
      </c>
      <c r="C79" s="179">
        <v>43466</v>
      </c>
      <c r="D79" s="38">
        <v>87</v>
      </c>
      <c r="E79" s="38" t="s">
        <v>66</v>
      </c>
      <c r="F79" s="22">
        <v>-7940</v>
      </c>
      <c r="G79" s="38" t="s">
        <v>137</v>
      </c>
      <c r="H79" s="179">
        <v>43723</v>
      </c>
      <c r="I79" s="38" t="s">
        <v>143</v>
      </c>
      <c r="J79" s="38" t="s">
        <v>376</v>
      </c>
      <c r="M79" s="179"/>
      <c r="O79" s="179"/>
      <c r="Q79" s="179"/>
      <c r="R79" s="179"/>
    </row>
    <row r="80" spans="1:18">
      <c r="A80" s="38">
        <v>9511</v>
      </c>
      <c r="B80" s="38" t="s">
        <v>84</v>
      </c>
      <c r="C80" s="179">
        <v>43466</v>
      </c>
      <c r="D80" s="38">
        <v>87</v>
      </c>
      <c r="E80" s="38" t="s">
        <v>66</v>
      </c>
      <c r="F80" s="22">
        <v>1537</v>
      </c>
      <c r="G80" s="38" t="s">
        <v>137</v>
      </c>
      <c r="H80" s="179">
        <v>43723</v>
      </c>
      <c r="I80" s="38" t="s">
        <v>143</v>
      </c>
      <c r="J80" s="38" t="s">
        <v>376</v>
      </c>
      <c r="M80" s="179"/>
      <c r="O80" s="179"/>
      <c r="Q80" s="179"/>
      <c r="R80" s="179"/>
    </row>
    <row r="81" spans="1:18">
      <c r="A81" s="38">
        <v>4330</v>
      </c>
      <c r="B81" s="38" t="s">
        <v>99</v>
      </c>
      <c r="C81" s="179">
        <v>43493</v>
      </c>
      <c r="D81" s="38">
        <v>176</v>
      </c>
      <c r="E81" s="38" t="s">
        <v>100</v>
      </c>
      <c r="F81" s="22">
        <v>11610</v>
      </c>
      <c r="G81" s="38" t="s">
        <v>130</v>
      </c>
      <c r="H81" s="179">
        <v>43723</v>
      </c>
      <c r="I81" s="38" t="s">
        <v>377</v>
      </c>
      <c r="J81" s="38" t="s">
        <v>375</v>
      </c>
      <c r="M81" s="179"/>
      <c r="O81" s="179"/>
      <c r="Q81" s="179"/>
      <c r="R81" s="179"/>
    </row>
    <row r="82" spans="1:18">
      <c r="A82" s="38">
        <v>7810</v>
      </c>
      <c r="B82" s="38" t="s">
        <v>76</v>
      </c>
      <c r="C82" s="179">
        <v>43493</v>
      </c>
      <c r="D82" s="38">
        <v>176</v>
      </c>
      <c r="E82" s="38" t="s">
        <v>100</v>
      </c>
      <c r="F82" s="22">
        <v>-11610</v>
      </c>
      <c r="G82" s="38" t="s">
        <v>130</v>
      </c>
      <c r="H82" s="179">
        <v>43723</v>
      </c>
      <c r="I82" s="38" t="s">
        <v>141</v>
      </c>
      <c r="J82" s="38" t="s">
        <v>376</v>
      </c>
      <c r="M82" s="179"/>
      <c r="O82" s="179"/>
      <c r="Q82" s="179"/>
      <c r="R82" s="179"/>
    </row>
    <row r="83" spans="1:18">
      <c r="A83" s="38">
        <v>4330</v>
      </c>
      <c r="B83" s="38" t="s">
        <v>99</v>
      </c>
      <c r="C83" s="179">
        <v>43487</v>
      </c>
      <c r="D83" s="38">
        <v>177</v>
      </c>
      <c r="E83" s="38" t="s">
        <v>100</v>
      </c>
      <c r="F83" s="22">
        <v>10311</v>
      </c>
      <c r="G83" s="38" t="s">
        <v>130</v>
      </c>
      <c r="H83" s="179">
        <v>43723</v>
      </c>
      <c r="I83" s="38" t="s">
        <v>377</v>
      </c>
      <c r="J83" s="38" t="s">
        <v>375</v>
      </c>
      <c r="M83" s="179"/>
      <c r="O83" s="179"/>
      <c r="Q83" s="179"/>
      <c r="R83" s="179"/>
    </row>
    <row r="84" spans="1:18">
      <c r="A84" s="38">
        <v>7810</v>
      </c>
      <c r="B84" s="38" t="s">
        <v>76</v>
      </c>
      <c r="C84" s="179">
        <v>43487</v>
      </c>
      <c r="D84" s="38">
        <v>177</v>
      </c>
      <c r="E84" s="38" t="s">
        <v>100</v>
      </c>
      <c r="F84" s="22">
        <v>-10311</v>
      </c>
      <c r="G84" s="38" t="s">
        <v>130</v>
      </c>
      <c r="H84" s="179">
        <v>43723</v>
      </c>
      <c r="I84" s="38" t="s">
        <v>141</v>
      </c>
      <c r="J84" s="38" t="s">
        <v>376</v>
      </c>
      <c r="M84" s="179"/>
      <c r="O84" s="179"/>
      <c r="Q84" s="179"/>
      <c r="R84" s="179"/>
    </row>
    <row r="85" spans="1:18">
      <c r="A85" s="38">
        <v>4330</v>
      </c>
      <c r="B85" s="38" t="s">
        <v>99</v>
      </c>
      <c r="C85" s="179">
        <v>43477</v>
      </c>
      <c r="D85" s="38">
        <v>178</v>
      </c>
      <c r="E85" s="38" t="s">
        <v>100</v>
      </c>
      <c r="F85" s="22">
        <v>12563</v>
      </c>
      <c r="G85" s="38" t="s">
        <v>137</v>
      </c>
      <c r="H85" s="179">
        <v>43723</v>
      </c>
      <c r="I85" s="38" t="s">
        <v>377</v>
      </c>
      <c r="J85" s="38" t="s">
        <v>375</v>
      </c>
      <c r="M85" s="179"/>
      <c r="O85" s="179"/>
      <c r="Q85" s="179"/>
      <c r="R85" s="179"/>
    </row>
    <row r="86" spans="1:18">
      <c r="A86" s="38">
        <v>7810</v>
      </c>
      <c r="B86" s="38" t="s">
        <v>76</v>
      </c>
      <c r="C86" s="179">
        <v>43477</v>
      </c>
      <c r="D86" s="38">
        <v>178</v>
      </c>
      <c r="E86" s="38" t="s">
        <v>100</v>
      </c>
      <c r="F86" s="22">
        <v>-12563</v>
      </c>
      <c r="G86" s="38" t="s">
        <v>137</v>
      </c>
      <c r="H86" s="179">
        <v>43723</v>
      </c>
      <c r="I86" s="38" t="s">
        <v>141</v>
      </c>
      <c r="J86" s="38" t="s">
        <v>376</v>
      </c>
      <c r="M86" s="179"/>
      <c r="O86" s="179"/>
      <c r="Q86" s="179"/>
      <c r="R86" s="179"/>
    </row>
    <row r="87" spans="1:18">
      <c r="A87" s="38">
        <v>4650</v>
      </c>
      <c r="B87" s="38" t="s">
        <v>87</v>
      </c>
      <c r="C87" s="179">
        <v>43477</v>
      </c>
      <c r="D87" s="38">
        <v>187</v>
      </c>
      <c r="E87" s="38" t="s">
        <v>102</v>
      </c>
      <c r="F87" s="22">
        <v>559</v>
      </c>
      <c r="G87" s="38" t="s">
        <v>137</v>
      </c>
      <c r="H87" s="179">
        <v>43723</v>
      </c>
      <c r="I87" s="38" t="s">
        <v>377</v>
      </c>
      <c r="J87" s="38" t="s">
        <v>375</v>
      </c>
      <c r="M87" s="179"/>
      <c r="O87" s="179"/>
      <c r="Q87" s="179"/>
      <c r="R87" s="179"/>
    </row>
    <row r="88" spans="1:18">
      <c r="A88" s="38">
        <v>7810</v>
      </c>
      <c r="B88" s="38" t="s">
        <v>76</v>
      </c>
      <c r="C88" s="179">
        <v>43477</v>
      </c>
      <c r="D88" s="38">
        <v>187</v>
      </c>
      <c r="E88" s="38" t="s">
        <v>102</v>
      </c>
      <c r="F88" s="22">
        <v>-559</v>
      </c>
      <c r="G88" s="38" t="s">
        <v>137</v>
      </c>
      <c r="H88" s="179">
        <v>43723</v>
      </c>
      <c r="I88" s="38" t="s">
        <v>141</v>
      </c>
      <c r="J88" s="38" t="s">
        <v>376</v>
      </c>
      <c r="M88" s="179"/>
      <c r="O88" s="179"/>
      <c r="Q88" s="179"/>
      <c r="R88" s="179"/>
    </row>
    <row r="89" spans="1:18">
      <c r="A89" s="38">
        <v>7620</v>
      </c>
      <c r="B89" s="38" t="s">
        <v>72</v>
      </c>
      <c r="C89" s="179">
        <v>43492</v>
      </c>
      <c r="D89" s="38">
        <v>194</v>
      </c>
      <c r="E89" s="38" t="s">
        <v>137</v>
      </c>
      <c r="F89" s="22">
        <v>150000</v>
      </c>
      <c r="G89" s="38" t="s">
        <v>130</v>
      </c>
      <c r="H89" s="179">
        <v>43723</v>
      </c>
      <c r="I89" s="38" t="s">
        <v>139</v>
      </c>
      <c r="J89" s="38" t="s">
        <v>376</v>
      </c>
      <c r="M89" s="179"/>
      <c r="O89" s="179"/>
      <c r="Q89" s="179"/>
      <c r="R89" s="179"/>
    </row>
    <row r="90" spans="1:18">
      <c r="A90" s="38">
        <v>7810</v>
      </c>
      <c r="B90" s="38" t="s">
        <v>76</v>
      </c>
      <c r="C90" s="179">
        <v>43492</v>
      </c>
      <c r="D90" s="38">
        <v>194</v>
      </c>
      <c r="E90" s="38" t="s">
        <v>137</v>
      </c>
      <c r="F90" s="22">
        <v>-150000</v>
      </c>
      <c r="G90" s="38" t="s">
        <v>130</v>
      </c>
      <c r="H90" s="179">
        <v>43723</v>
      </c>
      <c r="I90" s="38" t="s">
        <v>141</v>
      </c>
      <c r="J90" s="38" t="s">
        <v>376</v>
      </c>
      <c r="M90" s="179"/>
      <c r="O90" s="179"/>
      <c r="Q90" s="179"/>
      <c r="R90" s="179"/>
    </row>
    <row r="91" spans="1:18">
      <c r="A91" s="38">
        <v>7810</v>
      </c>
      <c r="B91" s="38" t="s">
        <v>76</v>
      </c>
      <c r="C91" s="179">
        <v>43471</v>
      </c>
      <c r="D91" s="38">
        <v>204</v>
      </c>
      <c r="E91" s="38" t="s">
        <v>90</v>
      </c>
      <c r="F91" s="22">
        <v>-153117</v>
      </c>
      <c r="G91" s="38" t="s">
        <v>137</v>
      </c>
      <c r="H91" s="179">
        <v>43723</v>
      </c>
      <c r="I91" s="38" t="s">
        <v>141</v>
      </c>
      <c r="J91" s="38" t="s">
        <v>376</v>
      </c>
      <c r="M91" s="179"/>
      <c r="O91" s="179"/>
      <c r="Q91" s="179"/>
      <c r="R91" s="179"/>
    </row>
    <row r="92" spans="1:18">
      <c r="A92" s="38">
        <v>9325</v>
      </c>
      <c r="B92" s="38" t="s">
        <v>83</v>
      </c>
      <c r="C92" s="179">
        <v>43471</v>
      </c>
      <c r="D92" s="38">
        <v>204</v>
      </c>
      <c r="E92" s="38" t="s">
        <v>90</v>
      </c>
      <c r="F92" s="22">
        <v>153117</v>
      </c>
      <c r="G92" s="38" t="s">
        <v>137</v>
      </c>
      <c r="H92" s="179">
        <v>43723</v>
      </c>
      <c r="I92" s="38" t="s">
        <v>143</v>
      </c>
      <c r="J92" s="38" t="s">
        <v>376</v>
      </c>
      <c r="M92" s="179"/>
      <c r="O92" s="179"/>
      <c r="Q92" s="179"/>
      <c r="R92" s="179"/>
    </row>
    <row r="93" spans="1:18">
      <c r="A93" s="38">
        <v>7810</v>
      </c>
      <c r="B93" s="38" t="s">
        <v>76</v>
      </c>
      <c r="C93" s="179">
        <v>43471</v>
      </c>
      <c r="D93" s="38">
        <v>224</v>
      </c>
      <c r="E93" s="38" t="s">
        <v>91</v>
      </c>
      <c r="F93" s="22">
        <v>153117</v>
      </c>
      <c r="G93" s="38" t="s">
        <v>137</v>
      </c>
      <c r="H93" s="179">
        <v>43723</v>
      </c>
      <c r="I93" s="38" t="s">
        <v>141</v>
      </c>
      <c r="J93" s="38" t="s">
        <v>376</v>
      </c>
      <c r="M93" s="179"/>
      <c r="O93" s="179"/>
      <c r="Q93" s="179"/>
      <c r="R93" s="179"/>
    </row>
    <row r="94" spans="1:18">
      <c r="A94" s="38">
        <v>9325</v>
      </c>
      <c r="B94" s="38" t="s">
        <v>83</v>
      </c>
      <c r="C94" s="179">
        <v>43471</v>
      </c>
      <c r="D94" s="38">
        <v>224</v>
      </c>
      <c r="E94" s="38" t="s">
        <v>91</v>
      </c>
      <c r="F94" s="22">
        <v>-153117</v>
      </c>
      <c r="G94" s="38" t="s">
        <v>137</v>
      </c>
      <c r="H94" s="179">
        <v>43723</v>
      </c>
      <c r="I94" s="38" t="s">
        <v>143</v>
      </c>
      <c r="J94" s="38" t="s">
        <v>376</v>
      </c>
      <c r="M94" s="179"/>
      <c r="O94" s="179"/>
      <c r="Q94" s="179"/>
      <c r="R94" s="179"/>
    </row>
    <row r="95" spans="1:18">
      <c r="A95" s="38">
        <v>4330</v>
      </c>
      <c r="B95" s="38" t="s">
        <v>99</v>
      </c>
      <c r="C95" s="179">
        <v>43477</v>
      </c>
      <c r="D95" s="38">
        <v>225</v>
      </c>
      <c r="E95" s="38" t="s">
        <v>101</v>
      </c>
      <c r="F95" s="22">
        <v>-12563</v>
      </c>
      <c r="G95" s="38" t="s">
        <v>137</v>
      </c>
      <c r="H95" s="179">
        <v>43723</v>
      </c>
      <c r="I95" s="38" t="s">
        <v>377</v>
      </c>
      <c r="J95" s="38" t="s">
        <v>375</v>
      </c>
      <c r="M95" s="179"/>
      <c r="O95" s="179"/>
      <c r="Q95" s="179"/>
      <c r="R95" s="179"/>
    </row>
    <row r="96" spans="1:18">
      <c r="A96" s="38">
        <v>7810</v>
      </c>
      <c r="B96" s="38" t="s">
        <v>76</v>
      </c>
      <c r="C96" s="179">
        <v>43477</v>
      </c>
      <c r="D96" s="38">
        <v>225</v>
      </c>
      <c r="E96" s="38" t="s">
        <v>101</v>
      </c>
      <c r="F96" s="22">
        <v>12563</v>
      </c>
      <c r="G96" s="38" t="s">
        <v>137</v>
      </c>
      <c r="H96" s="179">
        <v>43723</v>
      </c>
      <c r="I96" s="38" t="s">
        <v>141</v>
      </c>
      <c r="J96" s="38" t="s">
        <v>376</v>
      </c>
      <c r="M96" s="179"/>
      <c r="O96" s="179"/>
      <c r="Q96" s="179"/>
      <c r="R96" s="179"/>
    </row>
    <row r="97" spans="1:18">
      <c r="A97" s="38">
        <v>4650</v>
      </c>
      <c r="B97" s="38" t="s">
        <v>87</v>
      </c>
      <c r="C97" s="179">
        <v>43477</v>
      </c>
      <c r="D97" s="38">
        <v>226</v>
      </c>
      <c r="E97" s="38" t="s">
        <v>103</v>
      </c>
      <c r="F97" s="22">
        <v>-559</v>
      </c>
      <c r="G97" s="38" t="s">
        <v>137</v>
      </c>
      <c r="H97" s="179">
        <v>43723</v>
      </c>
      <c r="I97" s="38" t="s">
        <v>377</v>
      </c>
      <c r="J97" s="38" t="s">
        <v>375</v>
      </c>
      <c r="M97" s="179"/>
      <c r="O97" s="179"/>
      <c r="Q97" s="179"/>
      <c r="R97" s="179"/>
    </row>
    <row r="98" spans="1:18">
      <c r="A98" s="38">
        <v>7810</v>
      </c>
      <c r="B98" s="38" t="s">
        <v>76</v>
      </c>
      <c r="C98" s="179">
        <v>43477</v>
      </c>
      <c r="D98" s="38">
        <v>226</v>
      </c>
      <c r="E98" s="38" t="s">
        <v>103</v>
      </c>
      <c r="F98" s="22">
        <v>559</v>
      </c>
      <c r="G98" s="38" t="s">
        <v>137</v>
      </c>
      <c r="H98" s="179">
        <v>43723</v>
      </c>
      <c r="I98" s="38" t="s">
        <v>141</v>
      </c>
      <c r="J98" s="38" t="s">
        <v>376</v>
      </c>
      <c r="M98" s="179"/>
      <c r="O98" s="179"/>
      <c r="Q98" s="179"/>
      <c r="R98" s="179"/>
    </row>
    <row r="99" spans="1:18">
      <c r="A99" s="38">
        <v>4330</v>
      </c>
      <c r="B99" s="38" t="s">
        <v>99</v>
      </c>
      <c r="C99" s="179">
        <v>43487</v>
      </c>
      <c r="D99" s="38">
        <v>227</v>
      </c>
      <c r="E99" s="38" t="s">
        <v>119</v>
      </c>
      <c r="F99" s="22">
        <v>-10311</v>
      </c>
      <c r="G99" s="38" t="s">
        <v>130</v>
      </c>
      <c r="H99" s="179">
        <v>43723</v>
      </c>
      <c r="I99" s="38" t="s">
        <v>377</v>
      </c>
      <c r="J99" s="38" t="s">
        <v>375</v>
      </c>
      <c r="M99" s="179"/>
      <c r="O99" s="179"/>
      <c r="Q99" s="179"/>
      <c r="R99" s="179"/>
    </row>
    <row r="100" spans="1:18">
      <c r="A100" s="38">
        <v>7810</v>
      </c>
      <c r="B100" s="38" t="s">
        <v>76</v>
      </c>
      <c r="C100" s="179">
        <v>43487</v>
      </c>
      <c r="D100" s="38">
        <v>227</v>
      </c>
      <c r="E100" s="38" t="s">
        <v>119</v>
      </c>
      <c r="F100" s="22">
        <v>10311</v>
      </c>
      <c r="G100" s="38" t="s">
        <v>130</v>
      </c>
      <c r="H100" s="179">
        <v>43723</v>
      </c>
      <c r="I100" s="38" t="s">
        <v>141</v>
      </c>
      <c r="J100" s="38" t="s">
        <v>376</v>
      </c>
      <c r="M100" s="179"/>
      <c r="O100" s="179"/>
      <c r="Q100" s="179"/>
      <c r="R100" s="179"/>
    </row>
    <row r="101" spans="1:18">
      <c r="A101" s="38">
        <v>7620</v>
      </c>
      <c r="B101" s="38" t="s">
        <v>72</v>
      </c>
      <c r="C101" s="179">
        <v>43492</v>
      </c>
      <c r="D101" s="38">
        <v>228</v>
      </c>
      <c r="E101" s="38" t="s">
        <v>123</v>
      </c>
      <c r="F101" s="22">
        <v>-150000</v>
      </c>
      <c r="G101" s="38" t="s">
        <v>130</v>
      </c>
      <c r="H101" s="179">
        <v>43723</v>
      </c>
      <c r="I101" s="38" t="s">
        <v>139</v>
      </c>
      <c r="J101" s="38" t="s">
        <v>376</v>
      </c>
      <c r="M101" s="179"/>
      <c r="O101" s="179"/>
      <c r="Q101" s="179"/>
      <c r="R101" s="179"/>
    </row>
    <row r="102" spans="1:18">
      <c r="A102" s="38">
        <v>7810</v>
      </c>
      <c r="B102" s="38" t="s">
        <v>76</v>
      </c>
      <c r="C102" s="179">
        <v>43492</v>
      </c>
      <c r="D102" s="38">
        <v>228</v>
      </c>
      <c r="E102" s="38" t="s">
        <v>123</v>
      </c>
      <c r="F102" s="22">
        <v>150000</v>
      </c>
      <c r="G102" s="38" t="s">
        <v>130</v>
      </c>
      <c r="H102" s="179">
        <v>43723</v>
      </c>
      <c r="I102" s="38" t="s">
        <v>141</v>
      </c>
      <c r="J102" s="38" t="s">
        <v>376</v>
      </c>
      <c r="M102" s="179"/>
      <c r="O102" s="179"/>
      <c r="Q102" s="179"/>
      <c r="R102" s="179"/>
    </row>
    <row r="103" spans="1:18">
      <c r="A103" s="38">
        <v>4330</v>
      </c>
      <c r="B103" s="38" t="s">
        <v>99</v>
      </c>
      <c r="C103" s="179">
        <v>43493</v>
      </c>
      <c r="D103" s="38">
        <v>229</v>
      </c>
      <c r="E103" s="38" t="s">
        <v>124</v>
      </c>
      <c r="F103" s="22">
        <v>-11610</v>
      </c>
      <c r="G103" s="38" t="s">
        <v>130</v>
      </c>
      <c r="H103" s="179">
        <v>43723</v>
      </c>
      <c r="I103" s="38" t="s">
        <v>377</v>
      </c>
      <c r="J103" s="38" t="s">
        <v>375</v>
      </c>
      <c r="M103" s="179"/>
      <c r="O103" s="179"/>
      <c r="Q103" s="179"/>
      <c r="R103" s="179"/>
    </row>
    <row r="104" spans="1:18">
      <c r="A104" s="38">
        <v>7810</v>
      </c>
      <c r="B104" s="38" t="s">
        <v>76</v>
      </c>
      <c r="C104" s="179">
        <v>43493</v>
      </c>
      <c r="D104" s="38">
        <v>229</v>
      </c>
      <c r="E104" s="38" t="s">
        <v>124</v>
      </c>
      <c r="F104" s="22">
        <v>11610</v>
      </c>
      <c r="G104" s="38" t="s">
        <v>130</v>
      </c>
      <c r="H104" s="179">
        <v>43723</v>
      </c>
      <c r="I104" s="38" t="s">
        <v>141</v>
      </c>
      <c r="J104" s="38" t="s">
        <v>376</v>
      </c>
      <c r="M104" s="179"/>
      <c r="O104" s="179"/>
      <c r="Q104" s="179"/>
      <c r="R104" s="179"/>
    </row>
    <row r="105" spans="1:18">
      <c r="A105" s="38">
        <v>2400</v>
      </c>
      <c r="B105" s="38" t="s">
        <v>60</v>
      </c>
      <c r="C105" s="179">
        <v>43466</v>
      </c>
      <c r="D105" s="38">
        <v>240</v>
      </c>
      <c r="E105" s="38" t="s">
        <v>61</v>
      </c>
      <c r="F105" s="22">
        <v>1200000</v>
      </c>
      <c r="G105" s="38" t="s">
        <v>137</v>
      </c>
      <c r="H105" s="179">
        <v>43723</v>
      </c>
      <c r="I105" s="38" t="s">
        <v>13</v>
      </c>
      <c r="J105" s="38" t="s">
        <v>375</v>
      </c>
      <c r="M105" s="179"/>
      <c r="O105" s="179"/>
      <c r="Q105" s="179"/>
      <c r="R105" s="179"/>
    </row>
    <row r="106" spans="1:18">
      <c r="A106" s="38">
        <v>7520</v>
      </c>
      <c r="B106" s="38" t="s">
        <v>47</v>
      </c>
      <c r="C106" s="179">
        <v>43466</v>
      </c>
      <c r="D106" s="38">
        <v>240</v>
      </c>
      <c r="E106" s="38" t="s">
        <v>61</v>
      </c>
      <c r="F106" s="22">
        <v>-1200000</v>
      </c>
      <c r="G106" s="38" t="s">
        <v>137</v>
      </c>
      <c r="H106" s="179">
        <v>43723</v>
      </c>
      <c r="I106" s="38" t="s">
        <v>47</v>
      </c>
      <c r="J106" s="38" t="s">
        <v>376</v>
      </c>
      <c r="M106" s="179"/>
      <c r="O106" s="179"/>
      <c r="Q106" s="179"/>
      <c r="R106" s="179"/>
    </row>
    <row r="107" spans="1:18">
      <c r="A107" s="38">
        <v>7301</v>
      </c>
      <c r="B107" s="38" t="s">
        <v>69</v>
      </c>
      <c r="C107" s="179">
        <v>43466</v>
      </c>
      <c r="D107" s="38">
        <v>241</v>
      </c>
      <c r="E107" s="38" t="s">
        <v>70</v>
      </c>
      <c r="F107" s="22">
        <v>414000</v>
      </c>
      <c r="G107" s="38" t="s">
        <v>130</v>
      </c>
      <c r="H107" s="179">
        <v>43723</v>
      </c>
      <c r="I107" s="38" t="s">
        <v>178</v>
      </c>
      <c r="J107" s="38" t="s">
        <v>376</v>
      </c>
      <c r="M107" s="179"/>
      <c r="O107" s="179"/>
      <c r="Q107" s="179"/>
      <c r="R107" s="179"/>
    </row>
    <row r="108" spans="1:18">
      <c r="A108" s="38">
        <v>7341</v>
      </c>
      <c r="B108" s="38" t="s">
        <v>71</v>
      </c>
      <c r="C108" s="179">
        <v>43466</v>
      </c>
      <c r="D108" s="38">
        <v>241</v>
      </c>
      <c r="E108" s="38" t="s">
        <v>70</v>
      </c>
      <c r="F108" s="22">
        <v>17055600</v>
      </c>
      <c r="G108" s="38" t="s">
        <v>130</v>
      </c>
      <c r="H108" s="179">
        <v>43723</v>
      </c>
      <c r="I108" s="38" t="s">
        <v>178</v>
      </c>
      <c r="J108" s="38" t="s">
        <v>376</v>
      </c>
      <c r="M108" s="179"/>
      <c r="O108" s="179"/>
      <c r="Q108" s="179"/>
      <c r="R108" s="179"/>
    </row>
    <row r="109" spans="1:18">
      <c r="A109" s="38">
        <v>7520</v>
      </c>
      <c r="B109" s="38" t="s">
        <v>47</v>
      </c>
      <c r="C109" s="179">
        <v>43466</v>
      </c>
      <c r="D109" s="38">
        <v>241</v>
      </c>
      <c r="E109" s="38" t="s">
        <v>70</v>
      </c>
      <c r="F109" s="22">
        <v>1200000</v>
      </c>
      <c r="G109" s="38" t="s">
        <v>130</v>
      </c>
      <c r="H109" s="179">
        <v>43723</v>
      </c>
      <c r="I109" s="38" t="s">
        <v>47</v>
      </c>
      <c r="J109" s="38" t="s">
        <v>376</v>
      </c>
      <c r="M109" s="179"/>
      <c r="O109" s="179"/>
      <c r="Q109" s="179"/>
      <c r="R109" s="179"/>
    </row>
    <row r="110" spans="1:18">
      <c r="A110" s="38">
        <v>7620</v>
      </c>
      <c r="B110" s="38" t="s">
        <v>72</v>
      </c>
      <c r="C110" s="179">
        <v>43466</v>
      </c>
      <c r="D110" s="38">
        <v>241</v>
      </c>
      <c r="E110" s="38" t="s">
        <v>70</v>
      </c>
      <c r="F110" s="22">
        <v>24353819</v>
      </c>
      <c r="G110" s="38" t="s">
        <v>130</v>
      </c>
      <c r="H110" s="179">
        <v>43723</v>
      </c>
      <c r="I110" s="38" t="s">
        <v>139</v>
      </c>
      <c r="J110" s="38" t="s">
        <v>376</v>
      </c>
      <c r="M110" s="179"/>
      <c r="O110" s="179"/>
      <c r="Q110" s="179"/>
      <c r="R110" s="179"/>
    </row>
    <row r="111" spans="1:18">
      <c r="A111" s="38">
        <v>7620</v>
      </c>
      <c r="B111" s="38" t="s">
        <v>72</v>
      </c>
      <c r="C111" s="179">
        <v>43466</v>
      </c>
      <c r="D111" s="38">
        <v>241</v>
      </c>
      <c r="E111" s="38" t="s">
        <v>70</v>
      </c>
      <c r="F111" s="22">
        <v>-1826170</v>
      </c>
      <c r="G111" s="38" t="s">
        <v>130</v>
      </c>
      <c r="H111" s="179">
        <v>43723</v>
      </c>
      <c r="I111" s="38" t="s">
        <v>139</v>
      </c>
      <c r="J111" s="38" t="s">
        <v>376</v>
      </c>
      <c r="M111" s="179"/>
      <c r="O111" s="179"/>
      <c r="Q111" s="179"/>
      <c r="R111" s="179"/>
    </row>
    <row r="112" spans="1:18">
      <c r="A112" s="38">
        <v>7620</v>
      </c>
      <c r="B112" s="38" t="s">
        <v>72</v>
      </c>
      <c r="C112" s="179">
        <v>43466</v>
      </c>
      <c r="D112" s="38">
        <v>241</v>
      </c>
      <c r="E112" s="38" t="s">
        <v>70</v>
      </c>
      <c r="F112" s="22">
        <v>-22614296</v>
      </c>
      <c r="G112" s="38" t="s">
        <v>130</v>
      </c>
      <c r="H112" s="179">
        <v>43723</v>
      </c>
      <c r="I112" s="38" t="s">
        <v>139</v>
      </c>
      <c r="J112" s="38" t="s">
        <v>376</v>
      </c>
      <c r="M112" s="179"/>
      <c r="O112" s="179"/>
      <c r="Q112" s="179"/>
      <c r="R112" s="179"/>
    </row>
    <row r="113" spans="1:18">
      <c r="A113" s="38">
        <v>7622</v>
      </c>
      <c r="B113" s="38" t="s">
        <v>73</v>
      </c>
      <c r="C113" s="179">
        <v>43466</v>
      </c>
      <c r="D113" s="38">
        <v>241</v>
      </c>
      <c r="E113" s="38" t="s">
        <v>70</v>
      </c>
      <c r="F113" s="22">
        <v>-803</v>
      </c>
      <c r="G113" s="38" t="s">
        <v>130</v>
      </c>
      <c r="H113" s="179">
        <v>43723</v>
      </c>
      <c r="I113" s="38" t="s">
        <v>139</v>
      </c>
      <c r="J113" s="38" t="s">
        <v>376</v>
      </c>
      <c r="M113" s="179"/>
      <c r="O113" s="179"/>
      <c r="Q113" s="179"/>
      <c r="R113" s="179"/>
    </row>
    <row r="114" spans="1:18">
      <c r="A114" s="38">
        <v>7630</v>
      </c>
      <c r="B114" s="38" t="s">
        <v>74</v>
      </c>
      <c r="C114" s="179">
        <v>43466</v>
      </c>
      <c r="D114" s="38">
        <v>241</v>
      </c>
      <c r="E114" s="38" t="s">
        <v>70</v>
      </c>
      <c r="F114" s="22">
        <v>-412955</v>
      </c>
      <c r="G114" s="38" t="s">
        <v>130</v>
      </c>
      <c r="H114" s="179">
        <v>43723</v>
      </c>
      <c r="I114" s="38" t="s">
        <v>139</v>
      </c>
      <c r="J114" s="38" t="s">
        <v>376</v>
      </c>
      <c r="M114" s="179"/>
      <c r="O114" s="179"/>
      <c r="Q114" s="179"/>
      <c r="R114" s="179"/>
    </row>
    <row r="115" spans="1:18">
      <c r="A115" s="38">
        <v>7658</v>
      </c>
      <c r="B115" s="38" t="s">
        <v>75</v>
      </c>
      <c r="C115" s="179">
        <v>43466</v>
      </c>
      <c r="D115" s="38">
        <v>241</v>
      </c>
      <c r="E115" s="38" t="s">
        <v>70</v>
      </c>
      <c r="F115" s="22">
        <v>1000</v>
      </c>
      <c r="G115" s="38" t="s">
        <v>130</v>
      </c>
      <c r="H115" s="179">
        <v>43723</v>
      </c>
      <c r="I115" s="38" t="s">
        <v>140</v>
      </c>
      <c r="J115" s="38" t="s">
        <v>376</v>
      </c>
      <c r="M115" s="179"/>
      <c r="O115" s="179"/>
      <c r="Q115" s="179"/>
      <c r="R115" s="179"/>
    </row>
    <row r="116" spans="1:18">
      <c r="A116" s="38">
        <v>7810</v>
      </c>
      <c r="B116" s="38" t="s">
        <v>76</v>
      </c>
      <c r="C116" s="179">
        <v>43466</v>
      </c>
      <c r="D116" s="38">
        <v>241</v>
      </c>
      <c r="E116" s="38" t="s">
        <v>70</v>
      </c>
      <c r="F116" s="22">
        <v>77198</v>
      </c>
      <c r="G116" s="38" t="s">
        <v>130</v>
      </c>
      <c r="H116" s="179">
        <v>43723</v>
      </c>
      <c r="I116" s="38" t="s">
        <v>141</v>
      </c>
      <c r="J116" s="38" t="s">
        <v>376</v>
      </c>
      <c r="M116" s="179"/>
      <c r="O116" s="179"/>
      <c r="Q116" s="179"/>
      <c r="R116" s="179"/>
    </row>
    <row r="117" spans="1:18">
      <c r="A117" s="38">
        <v>7820</v>
      </c>
      <c r="B117" s="38" t="s">
        <v>77</v>
      </c>
      <c r="C117" s="179">
        <v>43466</v>
      </c>
      <c r="D117" s="38">
        <v>241</v>
      </c>
      <c r="E117" s="38" t="s">
        <v>70</v>
      </c>
      <c r="F117" s="22">
        <v>70361</v>
      </c>
      <c r="G117" s="38" t="s">
        <v>130</v>
      </c>
      <c r="H117" s="179">
        <v>43723</v>
      </c>
      <c r="I117" s="38" t="s">
        <v>141</v>
      </c>
      <c r="J117" s="38" t="s">
        <v>376</v>
      </c>
      <c r="M117" s="179"/>
      <c r="O117" s="179"/>
      <c r="Q117" s="179"/>
      <c r="R117" s="179"/>
    </row>
    <row r="118" spans="1:18">
      <c r="A118" s="38">
        <v>7820</v>
      </c>
      <c r="B118" s="38" t="s">
        <v>77</v>
      </c>
      <c r="C118" s="179">
        <v>43466</v>
      </c>
      <c r="D118" s="38">
        <v>241</v>
      </c>
      <c r="E118" s="38" t="s">
        <v>70</v>
      </c>
      <c r="F118" s="22">
        <v>-70241</v>
      </c>
      <c r="G118" s="38" t="s">
        <v>130</v>
      </c>
      <c r="H118" s="179">
        <v>43723</v>
      </c>
      <c r="I118" s="38" t="s">
        <v>141</v>
      </c>
      <c r="J118" s="38" t="s">
        <v>376</v>
      </c>
      <c r="M118" s="179"/>
      <c r="O118" s="179"/>
      <c r="Q118" s="179"/>
      <c r="R118" s="179"/>
    </row>
    <row r="119" spans="1:18">
      <c r="A119" s="38">
        <v>7840</v>
      </c>
      <c r="B119" s="38" t="s">
        <v>78</v>
      </c>
      <c r="C119" s="179">
        <v>43466</v>
      </c>
      <c r="D119" s="38">
        <v>241</v>
      </c>
      <c r="E119" s="38" t="s">
        <v>70</v>
      </c>
      <c r="F119" s="22">
        <v>-321581</v>
      </c>
      <c r="G119" s="38" t="s">
        <v>130</v>
      </c>
      <c r="H119" s="179">
        <v>43723</v>
      </c>
      <c r="I119" s="38" t="s">
        <v>141</v>
      </c>
      <c r="J119" s="38" t="s">
        <v>376</v>
      </c>
      <c r="M119" s="179"/>
      <c r="O119" s="179"/>
      <c r="Q119" s="179"/>
      <c r="R119" s="179"/>
    </row>
    <row r="120" spans="1:18">
      <c r="A120" s="38">
        <v>7840</v>
      </c>
      <c r="B120" s="38" t="s">
        <v>78</v>
      </c>
      <c r="C120" s="179">
        <v>43466</v>
      </c>
      <c r="D120" s="38">
        <v>241</v>
      </c>
      <c r="E120" s="38" t="s">
        <v>70</v>
      </c>
      <c r="F120" s="22">
        <v>323138</v>
      </c>
      <c r="G120" s="38" t="s">
        <v>130</v>
      </c>
      <c r="H120" s="179">
        <v>43723</v>
      </c>
      <c r="I120" s="38" t="s">
        <v>141</v>
      </c>
      <c r="J120" s="38" t="s">
        <v>376</v>
      </c>
      <c r="M120" s="179"/>
      <c r="O120" s="179"/>
      <c r="Q120" s="179"/>
      <c r="R120" s="179"/>
    </row>
    <row r="121" spans="1:18">
      <c r="A121" s="38">
        <v>8100</v>
      </c>
      <c r="B121" s="38" t="s">
        <v>49</v>
      </c>
      <c r="C121" s="179">
        <v>43466</v>
      </c>
      <c r="D121" s="38">
        <v>241</v>
      </c>
      <c r="E121" s="38" t="s">
        <v>70</v>
      </c>
      <c r="F121" s="22">
        <v>-500000</v>
      </c>
      <c r="G121" s="38" t="s">
        <v>130</v>
      </c>
      <c r="H121" s="179">
        <v>43723</v>
      </c>
      <c r="I121" s="38" t="s">
        <v>0</v>
      </c>
      <c r="J121" s="38" t="s">
        <v>376</v>
      </c>
      <c r="M121" s="179"/>
      <c r="O121" s="179"/>
      <c r="Q121" s="179"/>
      <c r="R121" s="179"/>
    </row>
    <row r="122" spans="1:18">
      <c r="A122" s="38">
        <v>8160</v>
      </c>
      <c r="B122" s="38" t="s">
        <v>50</v>
      </c>
      <c r="C122" s="179">
        <v>43466</v>
      </c>
      <c r="D122" s="38">
        <v>241</v>
      </c>
      <c r="E122" s="38" t="s">
        <v>70</v>
      </c>
      <c r="F122" s="22">
        <v>-125000</v>
      </c>
      <c r="G122" s="38" t="s">
        <v>130</v>
      </c>
      <c r="H122" s="179">
        <v>43723</v>
      </c>
      <c r="I122" s="38" t="s">
        <v>0</v>
      </c>
      <c r="J122" s="38" t="s">
        <v>376</v>
      </c>
      <c r="M122" s="179"/>
      <c r="O122" s="179"/>
      <c r="Q122" s="179"/>
      <c r="R122" s="179"/>
    </row>
    <row r="123" spans="1:18">
      <c r="A123" s="38">
        <v>8400</v>
      </c>
      <c r="B123" s="38" t="s">
        <v>79</v>
      </c>
      <c r="C123" s="179">
        <v>43466</v>
      </c>
      <c r="D123" s="38">
        <v>241</v>
      </c>
      <c r="E123" s="38" t="s">
        <v>70</v>
      </c>
      <c r="F123" s="22">
        <v>-14724182</v>
      </c>
      <c r="G123" s="38" t="s">
        <v>130</v>
      </c>
      <c r="H123" s="179">
        <v>43723</v>
      </c>
      <c r="I123" s="38" t="s">
        <v>0</v>
      </c>
      <c r="J123" s="38" t="s">
        <v>376</v>
      </c>
      <c r="M123" s="179"/>
      <c r="O123" s="179"/>
      <c r="Q123" s="179"/>
      <c r="R123" s="179"/>
    </row>
    <row r="124" spans="1:18">
      <c r="A124" s="38">
        <v>8400</v>
      </c>
      <c r="B124" s="38" t="s">
        <v>79</v>
      </c>
      <c r="C124" s="179">
        <v>43466</v>
      </c>
      <c r="D124" s="38">
        <v>241</v>
      </c>
      <c r="E124" s="38" t="s">
        <v>70</v>
      </c>
      <c r="F124" s="22">
        <v>1323725</v>
      </c>
      <c r="G124" s="38" t="s">
        <v>130</v>
      </c>
      <c r="H124" s="179">
        <v>43723</v>
      </c>
      <c r="I124" s="38" t="s">
        <v>0</v>
      </c>
      <c r="J124" s="38" t="s">
        <v>376</v>
      </c>
      <c r="M124" s="179"/>
      <c r="O124" s="179"/>
      <c r="Q124" s="179"/>
      <c r="R124" s="179"/>
    </row>
    <row r="125" spans="1:18">
      <c r="A125" s="38">
        <v>8710</v>
      </c>
      <c r="B125" s="38" t="s">
        <v>80</v>
      </c>
      <c r="C125" s="179">
        <v>43466</v>
      </c>
      <c r="D125" s="38">
        <v>241</v>
      </c>
      <c r="E125" s="38" t="s">
        <v>70</v>
      </c>
      <c r="F125" s="22">
        <v>-1617004</v>
      </c>
      <c r="G125" s="38" t="s">
        <v>130</v>
      </c>
      <c r="H125" s="179">
        <v>43723</v>
      </c>
      <c r="I125" s="38" t="s">
        <v>155</v>
      </c>
      <c r="J125" s="38" t="s">
        <v>376</v>
      </c>
      <c r="M125" s="179"/>
      <c r="O125" s="179"/>
      <c r="Q125" s="179"/>
      <c r="R125" s="179"/>
    </row>
    <row r="126" spans="1:18">
      <c r="A126" s="38">
        <v>8730</v>
      </c>
      <c r="B126" s="38" t="s">
        <v>81</v>
      </c>
      <c r="C126" s="179">
        <v>43466</v>
      </c>
      <c r="D126" s="38">
        <v>241</v>
      </c>
      <c r="E126" s="38" t="s">
        <v>70</v>
      </c>
      <c r="F126" s="22">
        <v>-3027245</v>
      </c>
      <c r="G126" s="38" t="s">
        <v>130</v>
      </c>
      <c r="H126" s="179">
        <v>43723</v>
      </c>
      <c r="I126" s="38" t="s">
        <v>155</v>
      </c>
      <c r="J126" s="38" t="s">
        <v>376</v>
      </c>
      <c r="M126" s="179"/>
      <c r="O126" s="179"/>
      <c r="Q126" s="179"/>
      <c r="R126" s="179"/>
    </row>
    <row r="127" spans="1:18">
      <c r="A127" s="38">
        <v>9320</v>
      </c>
      <c r="B127" s="38" t="s">
        <v>82</v>
      </c>
      <c r="C127" s="179">
        <v>43466</v>
      </c>
      <c r="D127" s="38">
        <v>241</v>
      </c>
      <c r="E127" s="38" t="s">
        <v>70</v>
      </c>
      <c r="F127" s="22">
        <v>810084</v>
      </c>
      <c r="G127" s="38" t="s">
        <v>130</v>
      </c>
      <c r="H127" s="179">
        <v>43723</v>
      </c>
      <c r="I127" s="38" t="s">
        <v>142</v>
      </c>
      <c r="J127" s="38" t="s">
        <v>376</v>
      </c>
      <c r="M127" s="179"/>
      <c r="O127" s="179"/>
      <c r="Q127" s="179"/>
      <c r="R127" s="179"/>
    </row>
    <row r="128" spans="1:18">
      <c r="A128" s="38">
        <v>9325</v>
      </c>
      <c r="B128" s="38" t="s">
        <v>83</v>
      </c>
      <c r="C128" s="179">
        <v>43466</v>
      </c>
      <c r="D128" s="38">
        <v>241</v>
      </c>
      <c r="E128" s="38" t="s">
        <v>70</v>
      </c>
      <c r="F128" s="22">
        <v>-287216</v>
      </c>
      <c r="G128" s="38" t="s">
        <v>130</v>
      </c>
      <c r="H128" s="179">
        <v>43723</v>
      </c>
      <c r="I128" s="38" t="s">
        <v>143</v>
      </c>
      <c r="J128" s="38" t="s">
        <v>376</v>
      </c>
      <c r="M128" s="179"/>
      <c r="O128" s="179"/>
      <c r="Q128" s="179"/>
      <c r="R128" s="179"/>
    </row>
    <row r="129" spans="1:18">
      <c r="A129" s="38">
        <v>9535</v>
      </c>
      <c r="B129" s="38" t="s">
        <v>85</v>
      </c>
      <c r="C129" s="179">
        <v>43466</v>
      </c>
      <c r="D129" s="38">
        <v>241</v>
      </c>
      <c r="E129" s="38" t="s">
        <v>70</v>
      </c>
      <c r="F129" s="22">
        <v>388750</v>
      </c>
      <c r="G129" s="38" t="s">
        <v>130</v>
      </c>
      <c r="H129" s="179">
        <v>43723</v>
      </c>
      <c r="I129" s="38" t="s">
        <v>143</v>
      </c>
      <c r="J129" s="38" t="s">
        <v>376</v>
      </c>
      <c r="M129" s="179"/>
      <c r="O129" s="179"/>
      <c r="Q129" s="179"/>
      <c r="R129" s="179"/>
    </row>
    <row r="130" spans="1:18">
      <c r="A130" s="38">
        <v>9610</v>
      </c>
      <c r="B130" s="38" t="s">
        <v>86</v>
      </c>
      <c r="C130" s="179">
        <v>43466</v>
      </c>
      <c r="D130" s="38">
        <v>241</v>
      </c>
      <c r="E130" s="38" t="s">
        <v>70</v>
      </c>
      <c r="F130" s="22">
        <v>-490982</v>
      </c>
      <c r="G130" s="38" t="s">
        <v>130</v>
      </c>
      <c r="H130" s="179">
        <v>43723</v>
      </c>
      <c r="I130" s="38" t="s">
        <v>143</v>
      </c>
      <c r="J130" s="38" t="s">
        <v>376</v>
      </c>
      <c r="M130" s="179"/>
      <c r="O130" s="179"/>
      <c r="Q130" s="179"/>
      <c r="R130" s="179"/>
    </row>
    <row r="131" spans="1:18">
      <c r="A131" s="38">
        <v>1200</v>
      </c>
      <c r="B131" s="38" t="s">
        <v>138</v>
      </c>
      <c r="C131" s="179">
        <v>43472</v>
      </c>
      <c r="D131" s="38">
        <v>242</v>
      </c>
      <c r="E131" s="38" t="s">
        <v>55</v>
      </c>
      <c r="F131" s="22">
        <v>-7513410</v>
      </c>
      <c r="G131" s="38" t="s">
        <v>129</v>
      </c>
      <c r="H131" s="179">
        <v>43472</v>
      </c>
      <c r="I131" s="38" t="s">
        <v>9</v>
      </c>
      <c r="J131" s="38" t="s">
        <v>375</v>
      </c>
      <c r="M131" s="179"/>
      <c r="O131" s="179"/>
      <c r="Q131" s="179"/>
      <c r="R131" s="179"/>
    </row>
    <row r="132" spans="1:18">
      <c r="A132" s="38">
        <v>2135</v>
      </c>
      <c r="B132" s="38" t="s">
        <v>370</v>
      </c>
      <c r="C132" s="179">
        <v>43472</v>
      </c>
      <c r="D132" s="38">
        <v>242</v>
      </c>
      <c r="E132" s="38" t="s">
        <v>55</v>
      </c>
      <c r="F132" s="22">
        <v>6925317</v>
      </c>
      <c r="G132" s="38" t="s">
        <v>129</v>
      </c>
      <c r="H132" s="179">
        <v>43472</v>
      </c>
      <c r="I132" s="38" t="s">
        <v>13</v>
      </c>
      <c r="J132" s="38" t="s">
        <v>375</v>
      </c>
      <c r="M132" s="179"/>
      <c r="O132" s="179"/>
      <c r="Q132" s="179"/>
      <c r="R132" s="179"/>
    </row>
    <row r="133" spans="1:18">
      <c r="A133" s="38">
        <v>2137</v>
      </c>
      <c r="B133" s="38" t="s">
        <v>369</v>
      </c>
      <c r="C133" s="179">
        <v>43472</v>
      </c>
      <c r="D133" s="38">
        <v>242</v>
      </c>
      <c r="E133" s="38" t="s">
        <v>55</v>
      </c>
      <c r="F133" s="22">
        <v>294046</v>
      </c>
      <c r="G133" s="38" t="s">
        <v>129</v>
      </c>
      <c r="H133" s="179">
        <v>43472</v>
      </c>
      <c r="I133" s="38" t="s">
        <v>13</v>
      </c>
      <c r="J133" s="38" t="s">
        <v>375</v>
      </c>
      <c r="M133" s="179"/>
      <c r="O133" s="179"/>
      <c r="Q133" s="179"/>
      <c r="R133" s="179"/>
    </row>
    <row r="134" spans="1:18">
      <c r="A134" s="38">
        <v>6120</v>
      </c>
      <c r="B134" s="38" t="s">
        <v>45</v>
      </c>
      <c r="C134" s="179">
        <v>43472</v>
      </c>
      <c r="D134" s="38">
        <v>242</v>
      </c>
      <c r="E134" s="38" t="s">
        <v>55</v>
      </c>
      <c r="F134" s="22">
        <v>1</v>
      </c>
      <c r="G134" s="38" t="s">
        <v>129</v>
      </c>
      <c r="H134" s="179">
        <v>43472</v>
      </c>
      <c r="I134" s="38" t="s">
        <v>378</v>
      </c>
      <c r="J134" s="38" t="s">
        <v>375</v>
      </c>
      <c r="M134" s="179"/>
      <c r="O134" s="179"/>
      <c r="Q134" s="179"/>
      <c r="R134" s="179"/>
    </row>
    <row r="135" spans="1:18">
      <c r="A135" s="38">
        <v>7620</v>
      </c>
      <c r="B135" s="38" t="s">
        <v>72</v>
      </c>
      <c r="C135" s="179">
        <v>43472</v>
      </c>
      <c r="D135" s="38">
        <v>242</v>
      </c>
      <c r="E135" s="38" t="s">
        <v>92</v>
      </c>
      <c r="F135" s="22">
        <v>294046</v>
      </c>
      <c r="G135" s="38" t="s">
        <v>129</v>
      </c>
      <c r="H135" s="179">
        <v>43472</v>
      </c>
      <c r="I135" s="38" t="s">
        <v>139</v>
      </c>
      <c r="J135" s="38" t="s">
        <v>376</v>
      </c>
      <c r="M135" s="179"/>
      <c r="O135" s="179"/>
      <c r="Q135" s="179"/>
      <c r="R135" s="179"/>
    </row>
    <row r="136" spans="1:18">
      <c r="A136" s="38">
        <v>1111</v>
      </c>
      <c r="B136" s="38" t="s">
        <v>96</v>
      </c>
      <c r="C136" s="179">
        <v>43477</v>
      </c>
      <c r="D136" s="38">
        <v>243</v>
      </c>
      <c r="E136" s="38" t="s">
        <v>55</v>
      </c>
      <c r="F136" s="22">
        <v>-283360</v>
      </c>
      <c r="G136" s="38" t="s">
        <v>129</v>
      </c>
      <c r="H136" s="179">
        <v>43477</v>
      </c>
      <c r="I136" s="38" t="s">
        <v>9</v>
      </c>
      <c r="J136" s="38" t="s">
        <v>375</v>
      </c>
      <c r="M136" s="179"/>
      <c r="O136" s="179"/>
      <c r="Q136" s="179"/>
      <c r="R136" s="179"/>
    </row>
    <row r="137" spans="1:18">
      <c r="A137" s="38">
        <v>7620</v>
      </c>
      <c r="B137" s="38" t="s">
        <v>72</v>
      </c>
      <c r="C137" s="179">
        <v>43477</v>
      </c>
      <c r="D137" s="38">
        <v>243</v>
      </c>
      <c r="E137" s="38" t="s">
        <v>452</v>
      </c>
      <c r="F137" s="22">
        <v>314530</v>
      </c>
      <c r="G137" s="38" t="s">
        <v>129</v>
      </c>
      <c r="H137" s="179">
        <v>43477</v>
      </c>
      <c r="I137" s="38" t="s">
        <v>139</v>
      </c>
      <c r="J137" s="38" t="s">
        <v>376</v>
      </c>
      <c r="M137" s="179"/>
      <c r="O137" s="179"/>
      <c r="Q137" s="179"/>
      <c r="R137" s="179"/>
    </row>
    <row r="138" spans="1:18">
      <c r="A138" s="38">
        <v>9533</v>
      </c>
      <c r="B138" s="38" t="s">
        <v>98</v>
      </c>
      <c r="C138" s="179">
        <v>43477</v>
      </c>
      <c r="D138" s="38">
        <v>243</v>
      </c>
      <c r="E138" s="38" t="s">
        <v>452</v>
      </c>
      <c r="F138" s="22">
        <v>-31170</v>
      </c>
      <c r="G138" s="38" t="s">
        <v>129</v>
      </c>
      <c r="H138" s="179">
        <v>43477</v>
      </c>
      <c r="I138" s="38" t="s">
        <v>143</v>
      </c>
      <c r="J138" s="38" t="s">
        <v>376</v>
      </c>
      <c r="M138" s="179"/>
      <c r="O138" s="179"/>
      <c r="Q138" s="179"/>
      <c r="R138" s="179"/>
    </row>
    <row r="139" spans="1:18">
      <c r="A139" s="38">
        <v>1111</v>
      </c>
      <c r="B139" s="38" t="s">
        <v>96</v>
      </c>
      <c r="C139" s="179">
        <v>43474</v>
      </c>
      <c r="D139" s="38">
        <v>244</v>
      </c>
      <c r="E139" s="38" t="s">
        <v>55</v>
      </c>
      <c r="F139" s="22">
        <v>-150000</v>
      </c>
      <c r="G139" s="38" t="s">
        <v>129</v>
      </c>
      <c r="H139" s="179">
        <v>43480</v>
      </c>
      <c r="I139" s="38" t="s">
        <v>9</v>
      </c>
      <c r="J139" s="38" t="s">
        <v>375</v>
      </c>
      <c r="M139" s="179"/>
      <c r="O139" s="179"/>
      <c r="Q139" s="179"/>
      <c r="R139" s="179"/>
    </row>
    <row r="140" spans="1:18">
      <c r="A140" s="38">
        <v>7620</v>
      </c>
      <c r="B140" s="38" t="s">
        <v>72</v>
      </c>
      <c r="C140" s="179">
        <v>43474</v>
      </c>
      <c r="D140" s="38">
        <v>244</v>
      </c>
      <c r="E140" s="38" t="s">
        <v>97</v>
      </c>
      <c r="F140" s="22">
        <v>166500</v>
      </c>
      <c r="G140" s="38" t="s">
        <v>129</v>
      </c>
      <c r="H140" s="179">
        <v>43480</v>
      </c>
      <c r="I140" s="38" t="s">
        <v>139</v>
      </c>
      <c r="J140" s="38" t="s">
        <v>376</v>
      </c>
      <c r="M140" s="179"/>
      <c r="O140" s="179"/>
      <c r="Q140" s="179"/>
      <c r="R140" s="179"/>
    </row>
    <row r="141" spans="1:18">
      <c r="A141" s="38">
        <v>9533</v>
      </c>
      <c r="B141" s="38" t="s">
        <v>98</v>
      </c>
      <c r="C141" s="179">
        <v>43474</v>
      </c>
      <c r="D141" s="38">
        <v>244</v>
      </c>
      <c r="E141" s="38" t="s">
        <v>97</v>
      </c>
      <c r="F141" s="22">
        <v>-16500</v>
      </c>
      <c r="G141" s="38" t="s">
        <v>129</v>
      </c>
      <c r="H141" s="179">
        <v>43480</v>
      </c>
      <c r="I141" s="38" t="s">
        <v>143</v>
      </c>
      <c r="J141" s="38" t="s">
        <v>376</v>
      </c>
      <c r="M141" s="179"/>
      <c r="O141" s="179"/>
      <c r="Q141" s="179"/>
      <c r="R141" s="179"/>
    </row>
    <row r="142" spans="1:18">
      <c r="A142" s="38">
        <v>1115</v>
      </c>
      <c r="B142" s="38" t="s">
        <v>114</v>
      </c>
      <c r="C142" s="179">
        <v>43483</v>
      </c>
      <c r="D142" s="38">
        <v>245</v>
      </c>
      <c r="E142" s="38" t="s">
        <v>55</v>
      </c>
      <c r="F142" s="22">
        <v>-130000</v>
      </c>
      <c r="G142" s="38" t="s">
        <v>129</v>
      </c>
      <c r="H142" s="179">
        <v>43856</v>
      </c>
      <c r="I142" s="38" t="s">
        <v>9</v>
      </c>
      <c r="J142" s="38" t="s">
        <v>375</v>
      </c>
      <c r="M142" s="179"/>
      <c r="O142" s="179"/>
      <c r="Q142" s="179"/>
      <c r="R142" s="179"/>
    </row>
    <row r="143" spans="1:18">
      <c r="A143" s="38">
        <v>7620</v>
      </c>
      <c r="B143" s="38" t="s">
        <v>72</v>
      </c>
      <c r="C143" s="179">
        <v>43483</v>
      </c>
      <c r="D143" s="38">
        <v>245</v>
      </c>
      <c r="E143" s="38" t="s">
        <v>115</v>
      </c>
      <c r="F143" s="22">
        <v>144300</v>
      </c>
      <c r="G143" s="38" t="s">
        <v>129</v>
      </c>
      <c r="H143" s="179">
        <v>43856</v>
      </c>
      <c r="I143" s="38" t="s">
        <v>139</v>
      </c>
      <c r="J143" s="38" t="s">
        <v>376</v>
      </c>
      <c r="M143" s="179"/>
      <c r="O143" s="179"/>
      <c r="Q143" s="179"/>
      <c r="R143" s="179"/>
    </row>
    <row r="144" spans="1:18">
      <c r="A144" s="38">
        <v>9533</v>
      </c>
      <c r="B144" s="38" t="s">
        <v>98</v>
      </c>
      <c r="C144" s="179">
        <v>43483</v>
      </c>
      <c r="D144" s="38">
        <v>245</v>
      </c>
      <c r="E144" s="38" t="s">
        <v>115</v>
      </c>
      <c r="F144" s="22">
        <v>-14300</v>
      </c>
      <c r="G144" s="38" t="s">
        <v>129</v>
      </c>
      <c r="H144" s="179">
        <v>43856</v>
      </c>
      <c r="I144" s="38" t="s">
        <v>143</v>
      </c>
      <c r="J144" s="38" t="s">
        <v>376</v>
      </c>
      <c r="M144" s="179"/>
      <c r="O144" s="179"/>
      <c r="Q144" s="179"/>
      <c r="R144" s="179"/>
    </row>
    <row r="145" spans="1:18">
      <c r="A145" s="38">
        <v>1115</v>
      </c>
      <c r="B145" s="38" t="s">
        <v>114</v>
      </c>
      <c r="C145" s="179">
        <v>43483</v>
      </c>
      <c r="D145" s="38">
        <v>246</v>
      </c>
      <c r="E145" s="38" t="s">
        <v>55</v>
      </c>
      <c r="F145" s="22">
        <v>130000</v>
      </c>
      <c r="G145" s="38" t="s">
        <v>129</v>
      </c>
      <c r="H145" s="179">
        <v>43864</v>
      </c>
      <c r="I145" s="38" t="s">
        <v>9</v>
      </c>
      <c r="J145" s="38" t="s">
        <v>375</v>
      </c>
      <c r="M145" s="179"/>
      <c r="O145" s="179"/>
      <c r="Q145" s="179"/>
      <c r="R145" s="179"/>
    </row>
    <row r="146" spans="1:18">
      <c r="A146" s="38">
        <v>7620</v>
      </c>
      <c r="B146" s="38" t="s">
        <v>72</v>
      </c>
      <c r="C146" s="179">
        <v>43483</v>
      </c>
      <c r="D146" s="38">
        <v>246</v>
      </c>
      <c r="E146" s="38" t="s">
        <v>115</v>
      </c>
      <c r="F146" s="22">
        <v>-144300</v>
      </c>
      <c r="G146" s="38" t="s">
        <v>129</v>
      </c>
      <c r="H146" s="179">
        <v>43864</v>
      </c>
      <c r="I146" s="38" t="s">
        <v>139</v>
      </c>
      <c r="J146" s="38" t="s">
        <v>376</v>
      </c>
      <c r="M146" s="179"/>
      <c r="O146" s="179"/>
      <c r="Q146" s="179"/>
      <c r="R146" s="179"/>
    </row>
    <row r="147" spans="1:18">
      <c r="A147" s="38">
        <v>9533</v>
      </c>
      <c r="B147" s="38" t="s">
        <v>98</v>
      </c>
      <c r="C147" s="179">
        <v>43483</v>
      </c>
      <c r="D147" s="38">
        <v>246</v>
      </c>
      <c r="E147" s="38" t="s">
        <v>115</v>
      </c>
      <c r="F147" s="22">
        <v>14300</v>
      </c>
      <c r="G147" s="38" t="s">
        <v>129</v>
      </c>
      <c r="H147" s="179">
        <v>43864</v>
      </c>
      <c r="I147" s="38" t="s">
        <v>143</v>
      </c>
      <c r="J147" s="38" t="s">
        <v>376</v>
      </c>
      <c r="M147" s="179"/>
      <c r="O147" s="179"/>
      <c r="Q147" s="179"/>
      <c r="R147" s="179"/>
    </row>
    <row r="148" spans="1:18">
      <c r="A148" s="38">
        <v>3300</v>
      </c>
      <c r="B148" s="38" t="s">
        <v>372</v>
      </c>
      <c r="C148" s="179">
        <v>43496</v>
      </c>
      <c r="D148" s="38">
        <v>247</v>
      </c>
      <c r="E148" s="38" t="s">
        <v>373</v>
      </c>
      <c r="F148" s="22">
        <v>2500000</v>
      </c>
      <c r="G148" s="38" t="s">
        <v>137</v>
      </c>
      <c r="H148" s="179">
        <v>43496</v>
      </c>
      <c r="I148" s="38" t="s">
        <v>158</v>
      </c>
      <c r="J148" s="38" t="s">
        <v>375</v>
      </c>
      <c r="M148" s="179"/>
      <c r="O148" s="179"/>
      <c r="Q148" s="179"/>
      <c r="R148" s="179"/>
    </row>
    <row r="149" spans="1:18">
      <c r="A149" s="38">
        <v>3301</v>
      </c>
      <c r="B149" s="38" t="s">
        <v>223</v>
      </c>
      <c r="C149" s="179">
        <v>43496</v>
      </c>
      <c r="D149" s="38">
        <v>247</v>
      </c>
      <c r="E149" s="38" t="s">
        <v>373</v>
      </c>
      <c r="F149" s="22">
        <v>400000</v>
      </c>
      <c r="G149" s="38" t="s">
        <v>137</v>
      </c>
      <c r="H149" s="179">
        <v>43496</v>
      </c>
      <c r="I149" s="38" t="s">
        <v>158</v>
      </c>
      <c r="J149" s="38" t="s">
        <v>375</v>
      </c>
      <c r="M149" s="179"/>
      <c r="O149" s="179"/>
      <c r="Q149" s="179"/>
      <c r="R149" s="179"/>
    </row>
    <row r="150" spans="1:18">
      <c r="A150" s="38">
        <v>9670</v>
      </c>
      <c r="B150" s="38" t="s">
        <v>273</v>
      </c>
      <c r="C150" s="179">
        <v>43496</v>
      </c>
      <c r="D150" s="38">
        <v>247</v>
      </c>
      <c r="E150" s="38" t="s">
        <v>373</v>
      </c>
      <c r="F150" s="22">
        <v>-2500000</v>
      </c>
      <c r="G150" s="38" t="s">
        <v>137</v>
      </c>
      <c r="H150" s="179">
        <v>43496</v>
      </c>
      <c r="I150" s="38" t="s">
        <v>143</v>
      </c>
      <c r="J150" s="38" t="s">
        <v>376</v>
      </c>
      <c r="M150" s="179"/>
      <c r="O150" s="179"/>
      <c r="Q150" s="179"/>
      <c r="R150" s="179"/>
    </row>
    <row r="151" spans="1:18">
      <c r="A151" s="38">
        <v>9780</v>
      </c>
      <c r="B151" s="38" t="s">
        <v>374</v>
      </c>
      <c r="C151" s="179">
        <v>43496</v>
      </c>
      <c r="D151" s="38">
        <v>247</v>
      </c>
      <c r="E151" s="38" t="s">
        <v>373</v>
      </c>
      <c r="F151" s="22">
        <v>-400000</v>
      </c>
      <c r="G151" s="38" t="s">
        <v>137</v>
      </c>
      <c r="H151" s="179">
        <v>43496</v>
      </c>
      <c r="I151" s="38" t="s">
        <v>143</v>
      </c>
      <c r="J151" s="38" t="s">
        <v>376</v>
      </c>
      <c r="M151" s="179"/>
      <c r="O151" s="179"/>
      <c r="Q151" s="179"/>
      <c r="R151" s="179"/>
    </row>
  </sheetData>
  <sortState xmlns:xlrd2="http://schemas.microsoft.com/office/spreadsheetml/2017/richdata2" ref="A2:J151">
    <sortCondition ref="D2:D151"/>
  </sortState>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B2FB22-DC7C-4573-B9FE-E8286A31A8DE}">
  <sheetPr>
    <tabColor theme="4" tint="0.59999389629810485"/>
  </sheetPr>
  <dimension ref="A1:V151"/>
  <sheetViews>
    <sheetView zoomScaleNormal="100" zoomScaleSheetLayoutView="100" workbookViewId="0">
      <pane ySplit="1" topLeftCell="A2" activePane="bottomLeft" state="frozen"/>
      <selection pane="bottomLeft" activeCell="A2" sqref="A1:A2"/>
    </sheetView>
  </sheetViews>
  <sheetFormatPr defaultRowHeight="15"/>
  <cols>
    <col min="1" max="1" width="11.7109375" style="38" customWidth="1"/>
    <col min="2" max="2" width="28.5703125" style="38" bestFit="1" customWidth="1"/>
    <col min="3" max="4" width="11.7109375" style="38" customWidth="1"/>
    <col min="5" max="5" width="33.42578125" style="38" bestFit="1" customWidth="1"/>
    <col min="6" max="6" width="11.7109375" style="22" customWidth="1"/>
    <col min="7" max="8" width="11.7109375" style="38" customWidth="1"/>
    <col min="9" max="9" width="24.28515625" style="38" bestFit="1" customWidth="1"/>
    <col min="10" max="11" width="9" style="38"/>
    <col min="12" max="12" width="9.140625" customWidth="1"/>
    <col min="13" max="13" width="15.140625" customWidth="1"/>
  </cols>
  <sheetData>
    <row r="1" spans="1:22">
      <c r="A1" s="492" t="s">
        <v>52</v>
      </c>
      <c r="B1" s="492" t="s">
        <v>43</v>
      </c>
      <c r="C1" s="492" t="s">
        <v>53</v>
      </c>
      <c r="D1" s="492" t="s">
        <v>54</v>
      </c>
      <c r="E1" s="492" t="s">
        <v>56</v>
      </c>
      <c r="F1" s="493" t="s">
        <v>57</v>
      </c>
      <c r="G1" s="492" t="s">
        <v>58</v>
      </c>
      <c r="H1" s="492" t="s">
        <v>59</v>
      </c>
      <c r="I1" s="492" t="s">
        <v>367</v>
      </c>
      <c r="J1" s="492" t="s">
        <v>368</v>
      </c>
      <c r="K1" s="492"/>
    </row>
    <row r="2" spans="1:22">
      <c r="A2" s="38">
        <v>9780</v>
      </c>
      <c r="B2" s="38" t="s">
        <v>374</v>
      </c>
      <c r="C2" s="179">
        <v>43496</v>
      </c>
      <c r="D2" s="38">
        <v>247</v>
      </c>
      <c r="E2" s="38" t="s">
        <v>373</v>
      </c>
      <c r="F2" s="22">
        <v>-400000</v>
      </c>
      <c r="G2" s="38" t="s">
        <v>137</v>
      </c>
      <c r="H2" s="179">
        <v>43496</v>
      </c>
      <c r="I2" s="38" t="s">
        <v>143</v>
      </c>
      <c r="J2" s="38" t="s">
        <v>376</v>
      </c>
      <c r="R2" s="20"/>
      <c r="T2" s="20"/>
      <c r="V2" s="20"/>
    </row>
    <row r="3" spans="1:22">
      <c r="A3" s="38">
        <v>9670</v>
      </c>
      <c r="B3" s="38" t="s">
        <v>273</v>
      </c>
      <c r="C3" s="179">
        <v>43496</v>
      </c>
      <c r="D3" s="38">
        <v>247</v>
      </c>
      <c r="E3" s="38" t="s">
        <v>373</v>
      </c>
      <c r="F3" s="22">
        <v>-2500000</v>
      </c>
      <c r="G3" s="38" t="s">
        <v>137</v>
      </c>
      <c r="H3" s="179">
        <v>43496</v>
      </c>
      <c r="I3" s="38" t="s">
        <v>143</v>
      </c>
      <c r="J3" s="38" t="s">
        <v>376</v>
      </c>
      <c r="R3" s="20"/>
      <c r="T3" s="20"/>
      <c r="V3" s="20"/>
    </row>
    <row r="4" spans="1:22">
      <c r="A4" s="38">
        <v>9511</v>
      </c>
      <c r="B4" s="38" t="s">
        <v>84</v>
      </c>
      <c r="C4" s="179">
        <v>43496</v>
      </c>
      <c r="D4" s="38">
        <v>24</v>
      </c>
      <c r="E4" s="38" t="s">
        <v>64</v>
      </c>
      <c r="F4" s="22">
        <v>5632</v>
      </c>
      <c r="G4" s="38" t="s">
        <v>130</v>
      </c>
      <c r="H4" s="179">
        <v>43549</v>
      </c>
      <c r="I4" s="38" t="s">
        <v>143</v>
      </c>
      <c r="J4" s="38" t="s">
        <v>376</v>
      </c>
      <c r="M4" s="494" t="s">
        <v>554</v>
      </c>
      <c r="R4" s="20"/>
      <c r="T4" s="20"/>
      <c r="V4" s="20"/>
    </row>
    <row r="5" spans="1:22">
      <c r="A5" s="38">
        <v>9511</v>
      </c>
      <c r="B5" s="38" t="s">
        <v>84</v>
      </c>
      <c r="C5" s="179">
        <v>43496</v>
      </c>
      <c r="D5" s="38">
        <v>25</v>
      </c>
      <c r="E5" s="38" t="s">
        <v>64</v>
      </c>
      <c r="F5" s="22">
        <v>996</v>
      </c>
      <c r="G5" s="38" t="s">
        <v>130</v>
      </c>
      <c r="H5" s="179">
        <v>43549</v>
      </c>
      <c r="I5" s="38" t="s">
        <v>143</v>
      </c>
      <c r="J5" s="38" t="s">
        <v>376</v>
      </c>
      <c r="R5" s="20"/>
      <c r="T5" s="20"/>
      <c r="V5" s="20"/>
    </row>
    <row r="6" spans="1:22">
      <c r="A6" s="38">
        <v>9320</v>
      </c>
      <c r="B6" s="38" t="s">
        <v>82</v>
      </c>
      <c r="C6" s="179">
        <v>43496</v>
      </c>
      <c r="D6" s="38">
        <v>24</v>
      </c>
      <c r="E6" s="38" t="s">
        <v>64</v>
      </c>
      <c r="F6" s="22">
        <v>-29100</v>
      </c>
      <c r="G6" s="38" t="s">
        <v>130</v>
      </c>
      <c r="H6" s="179">
        <v>43549</v>
      </c>
      <c r="I6" s="38" t="s">
        <v>142</v>
      </c>
      <c r="J6" s="38" t="s">
        <v>376</v>
      </c>
      <c r="L6" s="38" t="s">
        <v>636</v>
      </c>
      <c r="M6" s="588" t="s">
        <v>704</v>
      </c>
      <c r="N6" s="588"/>
      <c r="O6" s="588"/>
      <c r="P6" s="588"/>
      <c r="Q6" s="588"/>
      <c r="R6" s="20"/>
      <c r="T6" s="20"/>
      <c r="V6" s="20"/>
    </row>
    <row r="7" spans="1:22">
      <c r="A7" s="38">
        <v>9320</v>
      </c>
      <c r="B7" s="38" t="s">
        <v>82</v>
      </c>
      <c r="C7" s="179">
        <v>43496</v>
      </c>
      <c r="D7" s="38">
        <v>25</v>
      </c>
      <c r="E7" s="38" t="s">
        <v>64</v>
      </c>
      <c r="F7" s="22">
        <v>-5147</v>
      </c>
      <c r="G7" s="38" t="s">
        <v>130</v>
      </c>
      <c r="H7" s="179">
        <v>43549</v>
      </c>
      <c r="I7" s="38" t="s">
        <v>142</v>
      </c>
      <c r="J7" s="38" t="s">
        <v>376</v>
      </c>
      <c r="R7" s="20"/>
      <c r="T7" s="20"/>
      <c r="V7" s="20"/>
    </row>
    <row r="8" spans="1:22">
      <c r="A8" s="38">
        <v>4410</v>
      </c>
      <c r="B8" s="38" t="s">
        <v>63</v>
      </c>
      <c r="C8" s="179">
        <v>43496</v>
      </c>
      <c r="D8" s="38">
        <v>24</v>
      </c>
      <c r="E8" s="38" t="s">
        <v>64</v>
      </c>
      <c r="F8" s="22">
        <v>23468</v>
      </c>
      <c r="G8" s="38" t="s">
        <v>130</v>
      </c>
      <c r="H8" s="179">
        <v>43549</v>
      </c>
      <c r="I8" s="38" t="s">
        <v>377</v>
      </c>
      <c r="J8" s="38" t="s">
        <v>375</v>
      </c>
      <c r="M8" t="s">
        <v>555</v>
      </c>
      <c r="R8" s="20"/>
      <c r="T8" s="20"/>
      <c r="V8" s="20"/>
    </row>
    <row r="9" spans="1:22">
      <c r="A9" s="38">
        <v>4410</v>
      </c>
      <c r="B9" s="38" t="s">
        <v>63</v>
      </c>
      <c r="C9" s="179">
        <v>43496</v>
      </c>
      <c r="D9" s="38">
        <v>25</v>
      </c>
      <c r="E9" s="38" t="s">
        <v>64</v>
      </c>
      <c r="F9" s="22">
        <v>4151</v>
      </c>
      <c r="G9" s="38" t="s">
        <v>130</v>
      </c>
      <c r="H9" s="179">
        <v>43549</v>
      </c>
      <c r="I9" s="38" t="s">
        <v>377</v>
      </c>
      <c r="J9" s="38" t="s">
        <v>375</v>
      </c>
      <c r="L9" s="38" t="s">
        <v>637</v>
      </c>
      <c r="R9" s="20"/>
      <c r="T9" s="20"/>
      <c r="V9" s="20"/>
    </row>
    <row r="10" spans="1:22">
      <c r="A10" s="38">
        <v>3301</v>
      </c>
      <c r="B10" s="38" t="s">
        <v>223</v>
      </c>
      <c r="C10" s="179">
        <v>43496</v>
      </c>
      <c r="D10" s="38">
        <v>247</v>
      </c>
      <c r="E10" s="38" t="s">
        <v>373</v>
      </c>
      <c r="F10" s="22">
        <v>400000</v>
      </c>
      <c r="G10" s="38" t="s">
        <v>137</v>
      </c>
      <c r="H10" s="179">
        <v>43496</v>
      </c>
      <c r="I10" s="38" t="s">
        <v>158</v>
      </c>
      <c r="J10" s="38" t="s">
        <v>375</v>
      </c>
      <c r="L10" s="536" t="s">
        <v>635</v>
      </c>
      <c r="M10" s="391">
        <v>0</v>
      </c>
      <c r="N10" t="s">
        <v>693</v>
      </c>
      <c r="R10" s="20"/>
      <c r="T10" s="20"/>
      <c r="V10" s="20"/>
    </row>
    <row r="11" spans="1:22">
      <c r="A11" s="38">
        <v>3300</v>
      </c>
      <c r="B11" s="38" t="s">
        <v>372</v>
      </c>
      <c r="C11" s="179">
        <v>43496</v>
      </c>
      <c r="D11" s="38">
        <v>247</v>
      </c>
      <c r="E11" s="38" t="s">
        <v>373</v>
      </c>
      <c r="F11" s="22">
        <v>2500000</v>
      </c>
      <c r="G11" s="38" t="s">
        <v>137</v>
      </c>
      <c r="H11" s="179">
        <v>43496</v>
      </c>
      <c r="I11" s="38" t="s">
        <v>158</v>
      </c>
      <c r="J11" s="38" t="s">
        <v>375</v>
      </c>
      <c r="R11" s="20"/>
      <c r="T11" s="20"/>
      <c r="V11" s="20"/>
    </row>
    <row r="12" spans="1:22">
      <c r="A12" s="38">
        <v>9320</v>
      </c>
      <c r="B12" s="38" t="s">
        <v>82</v>
      </c>
      <c r="C12" s="179">
        <v>43495</v>
      </c>
      <c r="D12" s="38">
        <v>17</v>
      </c>
      <c r="E12" s="38" t="s">
        <v>134</v>
      </c>
      <c r="F12" s="22">
        <v>904227</v>
      </c>
      <c r="G12" s="38" t="s">
        <v>130</v>
      </c>
      <c r="H12" s="179">
        <v>43549</v>
      </c>
      <c r="I12" s="38" t="s">
        <v>142</v>
      </c>
      <c r="J12" s="38" t="s">
        <v>376</v>
      </c>
      <c r="L12" s="38"/>
      <c r="M12" s="4"/>
      <c r="R12" s="20"/>
      <c r="T12" s="20"/>
      <c r="V12" s="20"/>
    </row>
    <row r="13" spans="1:22">
      <c r="A13" s="38">
        <v>7810</v>
      </c>
      <c r="B13" s="38" t="s">
        <v>76</v>
      </c>
      <c r="C13" s="179">
        <v>43495</v>
      </c>
      <c r="D13" s="38">
        <v>16</v>
      </c>
      <c r="E13" s="38" t="s">
        <v>131</v>
      </c>
      <c r="F13" s="22">
        <v>920000</v>
      </c>
      <c r="G13" s="38" t="s">
        <v>130</v>
      </c>
      <c r="H13" s="179">
        <v>43549</v>
      </c>
      <c r="I13" s="38" t="s">
        <v>141</v>
      </c>
      <c r="J13" s="38" t="s">
        <v>376</v>
      </c>
      <c r="R13" s="20"/>
      <c r="T13" s="20"/>
      <c r="V13" s="20"/>
    </row>
    <row r="14" spans="1:22">
      <c r="A14" s="38">
        <v>7810</v>
      </c>
      <c r="B14" s="38" t="s">
        <v>76</v>
      </c>
      <c r="C14" s="179">
        <v>43495</v>
      </c>
      <c r="D14" s="38">
        <v>17</v>
      </c>
      <c r="E14" s="38" t="s">
        <v>134</v>
      </c>
      <c r="F14" s="22">
        <v>-904227</v>
      </c>
      <c r="G14" s="38" t="s">
        <v>130</v>
      </c>
      <c r="H14" s="179">
        <v>43549</v>
      </c>
      <c r="I14" s="38" t="s">
        <v>141</v>
      </c>
      <c r="J14" s="38" t="s">
        <v>376</v>
      </c>
      <c r="R14" s="20"/>
      <c r="T14" s="20"/>
      <c r="V14" s="20"/>
    </row>
    <row r="15" spans="1:22">
      <c r="A15" s="38">
        <v>7620</v>
      </c>
      <c r="B15" s="38" t="s">
        <v>72</v>
      </c>
      <c r="C15" s="179">
        <v>43495</v>
      </c>
      <c r="D15" s="38">
        <v>16</v>
      </c>
      <c r="E15" s="38" t="s">
        <v>131</v>
      </c>
      <c r="F15" s="22">
        <v>-920000</v>
      </c>
      <c r="G15" s="38" t="s">
        <v>130</v>
      </c>
      <c r="H15" s="179">
        <v>43549</v>
      </c>
      <c r="I15" s="38" t="s">
        <v>139</v>
      </c>
      <c r="J15" s="38" t="s">
        <v>376</v>
      </c>
      <c r="R15" s="20"/>
      <c r="T15" s="20"/>
      <c r="V15" s="20"/>
    </row>
    <row r="16" spans="1:22">
      <c r="A16" s="38">
        <v>9320</v>
      </c>
      <c r="B16" s="38" t="s">
        <v>82</v>
      </c>
      <c r="C16" s="179">
        <v>43494</v>
      </c>
      <c r="D16" s="38">
        <v>19</v>
      </c>
      <c r="E16" s="38" t="s">
        <v>126</v>
      </c>
      <c r="F16" s="22">
        <v>-517478</v>
      </c>
      <c r="G16" s="38" t="s">
        <v>130</v>
      </c>
      <c r="H16" s="179">
        <v>43549</v>
      </c>
      <c r="I16" s="38" t="s">
        <v>142</v>
      </c>
      <c r="J16" s="38" t="s">
        <v>376</v>
      </c>
      <c r="R16" s="20"/>
      <c r="T16" s="20"/>
      <c r="V16" s="20"/>
    </row>
    <row r="17" spans="1:22">
      <c r="A17" s="38">
        <v>4335</v>
      </c>
      <c r="B17" s="38" t="s">
        <v>62</v>
      </c>
      <c r="C17" s="179">
        <v>43494</v>
      </c>
      <c r="D17" s="38">
        <v>19</v>
      </c>
      <c r="E17" s="38" t="s">
        <v>126</v>
      </c>
      <c r="F17" s="22">
        <v>95396</v>
      </c>
      <c r="G17" s="38" t="s">
        <v>130</v>
      </c>
      <c r="H17" s="179">
        <v>43549</v>
      </c>
      <c r="I17" s="38" t="s">
        <v>377</v>
      </c>
      <c r="J17" s="38" t="s">
        <v>375</v>
      </c>
      <c r="R17" s="20"/>
      <c r="T17" s="20"/>
      <c r="V17" s="20"/>
    </row>
    <row r="18" spans="1:22">
      <c r="A18" s="38">
        <v>4145</v>
      </c>
      <c r="B18" s="38" t="s">
        <v>127</v>
      </c>
      <c r="C18" s="179">
        <v>43494</v>
      </c>
      <c r="D18" s="38">
        <v>19</v>
      </c>
      <c r="E18" s="38" t="s">
        <v>126</v>
      </c>
      <c r="F18" s="22">
        <v>47320</v>
      </c>
      <c r="G18" s="38" t="s">
        <v>130</v>
      </c>
      <c r="H18" s="179">
        <v>43549</v>
      </c>
      <c r="I18" s="38" t="s">
        <v>377</v>
      </c>
      <c r="J18" s="38" t="s">
        <v>375</v>
      </c>
      <c r="R18" s="20"/>
      <c r="T18" s="20"/>
      <c r="V18" s="20"/>
    </row>
    <row r="19" spans="1:22">
      <c r="A19" s="38">
        <v>3310</v>
      </c>
      <c r="B19" s="38" t="s">
        <v>125</v>
      </c>
      <c r="C19" s="179">
        <v>43494</v>
      </c>
      <c r="D19" s="38">
        <v>19</v>
      </c>
      <c r="E19" s="38" t="s">
        <v>126</v>
      </c>
      <c r="F19" s="22">
        <v>374762</v>
      </c>
      <c r="G19" s="38" t="s">
        <v>130</v>
      </c>
      <c r="H19" s="179">
        <v>43549</v>
      </c>
      <c r="I19" s="38" t="s">
        <v>371</v>
      </c>
      <c r="J19" s="38" t="s">
        <v>375</v>
      </c>
      <c r="R19" s="20"/>
      <c r="T19" s="20"/>
      <c r="V19" s="20"/>
    </row>
    <row r="20" spans="1:22">
      <c r="A20" s="38">
        <v>7810</v>
      </c>
      <c r="B20" s="38" t="s">
        <v>76</v>
      </c>
      <c r="C20" s="179">
        <v>43493</v>
      </c>
      <c r="D20" s="38">
        <v>51</v>
      </c>
      <c r="E20" s="38" t="s">
        <v>100</v>
      </c>
      <c r="F20" s="22">
        <v>-11610</v>
      </c>
      <c r="G20" s="38" t="s">
        <v>130</v>
      </c>
      <c r="H20" s="179">
        <v>43549</v>
      </c>
      <c r="I20" s="38" t="s">
        <v>141</v>
      </c>
      <c r="J20" s="38" t="s">
        <v>376</v>
      </c>
      <c r="R20" s="20"/>
      <c r="T20" s="20"/>
      <c r="V20" s="20"/>
    </row>
    <row r="21" spans="1:22">
      <c r="A21" s="38">
        <v>7810</v>
      </c>
      <c r="B21" s="38" t="s">
        <v>76</v>
      </c>
      <c r="C21" s="179">
        <v>43493</v>
      </c>
      <c r="D21" s="38">
        <v>176</v>
      </c>
      <c r="E21" s="38" t="s">
        <v>100</v>
      </c>
      <c r="F21" s="22">
        <v>-11610</v>
      </c>
      <c r="G21" s="38" t="s">
        <v>130</v>
      </c>
      <c r="H21" s="179">
        <v>43723</v>
      </c>
      <c r="I21" s="38" t="s">
        <v>141</v>
      </c>
      <c r="J21" s="38" t="s">
        <v>376</v>
      </c>
      <c r="R21" s="20"/>
      <c r="T21" s="20"/>
      <c r="V21" s="20"/>
    </row>
    <row r="22" spans="1:22">
      <c r="A22" s="38">
        <v>7810</v>
      </c>
      <c r="B22" s="38" t="s">
        <v>76</v>
      </c>
      <c r="C22" s="179">
        <v>43493</v>
      </c>
      <c r="D22" s="38">
        <v>229</v>
      </c>
      <c r="E22" s="38" t="s">
        <v>124</v>
      </c>
      <c r="F22" s="22">
        <v>11610</v>
      </c>
      <c r="G22" s="38" t="s">
        <v>130</v>
      </c>
      <c r="H22" s="179">
        <v>43723</v>
      </c>
      <c r="I22" s="38" t="s">
        <v>141</v>
      </c>
      <c r="J22" s="38" t="s">
        <v>376</v>
      </c>
      <c r="R22" s="20"/>
      <c r="T22" s="20"/>
      <c r="V22" s="20"/>
    </row>
    <row r="23" spans="1:22">
      <c r="A23" s="38">
        <v>4330</v>
      </c>
      <c r="B23" s="38" t="s">
        <v>99</v>
      </c>
      <c r="C23" s="179">
        <v>43493</v>
      </c>
      <c r="D23" s="38">
        <v>51</v>
      </c>
      <c r="E23" s="38" t="s">
        <v>100</v>
      </c>
      <c r="F23" s="22">
        <v>11610</v>
      </c>
      <c r="G23" s="38" t="s">
        <v>130</v>
      </c>
      <c r="H23" s="179">
        <v>43549</v>
      </c>
      <c r="I23" s="38" t="s">
        <v>377</v>
      </c>
      <c r="J23" s="38" t="s">
        <v>375</v>
      </c>
      <c r="R23" s="20"/>
      <c r="T23" s="20"/>
      <c r="V23" s="20"/>
    </row>
    <row r="24" spans="1:22">
      <c r="A24" s="38">
        <v>4330</v>
      </c>
      <c r="B24" s="38" t="s">
        <v>99</v>
      </c>
      <c r="C24" s="179">
        <v>43493</v>
      </c>
      <c r="D24" s="38">
        <v>176</v>
      </c>
      <c r="E24" s="38" t="s">
        <v>100</v>
      </c>
      <c r="F24" s="22">
        <v>11610</v>
      </c>
      <c r="G24" s="38" t="s">
        <v>130</v>
      </c>
      <c r="H24" s="179">
        <v>43723</v>
      </c>
      <c r="I24" s="38" t="s">
        <v>377</v>
      </c>
      <c r="J24" s="38" t="s">
        <v>375</v>
      </c>
      <c r="R24" s="20"/>
      <c r="T24" s="20"/>
      <c r="V24" s="20"/>
    </row>
    <row r="25" spans="1:22">
      <c r="A25" s="38">
        <v>4330</v>
      </c>
      <c r="B25" s="38" t="s">
        <v>99</v>
      </c>
      <c r="C25" s="179">
        <v>43493</v>
      </c>
      <c r="D25" s="38">
        <v>229</v>
      </c>
      <c r="E25" s="38" t="s">
        <v>124</v>
      </c>
      <c r="F25" s="22">
        <v>-11610</v>
      </c>
      <c r="G25" s="38" t="s">
        <v>130</v>
      </c>
      <c r="H25" s="179">
        <v>43723</v>
      </c>
      <c r="I25" s="38" t="s">
        <v>377</v>
      </c>
      <c r="J25" s="38" t="s">
        <v>375</v>
      </c>
      <c r="R25" s="20"/>
      <c r="T25" s="20"/>
      <c r="V25" s="20"/>
    </row>
    <row r="26" spans="1:22">
      <c r="A26" s="38">
        <v>7810</v>
      </c>
      <c r="B26" s="38" t="s">
        <v>76</v>
      </c>
      <c r="C26" s="179">
        <v>43492</v>
      </c>
      <c r="D26" s="38">
        <v>50</v>
      </c>
      <c r="E26" s="38" t="s">
        <v>122</v>
      </c>
      <c r="F26" s="22">
        <v>-150000</v>
      </c>
      <c r="G26" s="38" t="s">
        <v>130</v>
      </c>
      <c r="H26" s="179">
        <v>43549</v>
      </c>
      <c r="I26" s="38" t="s">
        <v>141</v>
      </c>
      <c r="J26" s="38" t="s">
        <v>376</v>
      </c>
      <c r="R26" s="20"/>
      <c r="T26" s="20"/>
      <c r="V26" s="20"/>
    </row>
    <row r="27" spans="1:22">
      <c r="A27" s="38">
        <v>7810</v>
      </c>
      <c r="B27" s="38" t="s">
        <v>76</v>
      </c>
      <c r="C27" s="179">
        <v>43492</v>
      </c>
      <c r="D27" s="38">
        <v>194</v>
      </c>
      <c r="E27" s="38" t="s">
        <v>137</v>
      </c>
      <c r="F27" s="22">
        <v>-150000</v>
      </c>
      <c r="G27" s="38" t="s">
        <v>130</v>
      </c>
      <c r="H27" s="179">
        <v>43723</v>
      </c>
      <c r="I27" s="38" t="s">
        <v>141</v>
      </c>
      <c r="J27" s="38" t="s">
        <v>376</v>
      </c>
      <c r="R27" s="20"/>
      <c r="T27" s="20"/>
      <c r="V27" s="20"/>
    </row>
    <row r="28" spans="1:22">
      <c r="A28" s="38">
        <v>7810</v>
      </c>
      <c r="B28" s="38" t="s">
        <v>76</v>
      </c>
      <c r="C28" s="179">
        <v>43492</v>
      </c>
      <c r="D28" s="38">
        <v>228</v>
      </c>
      <c r="E28" s="38" t="s">
        <v>123</v>
      </c>
      <c r="F28" s="22">
        <v>150000</v>
      </c>
      <c r="G28" s="38" t="s">
        <v>130</v>
      </c>
      <c r="H28" s="179">
        <v>43723</v>
      </c>
      <c r="I28" s="38" t="s">
        <v>141</v>
      </c>
      <c r="J28" s="38" t="s">
        <v>376</v>
      </c>
      <c r="R28" s="20"/>
      <c r="T28" s="20"/>
      <c r="V28" s="20"/>
    </row>
    <row r="29" spans="1:22">
      <c r="A29" s="38">
        <v>7620</v>
      </c>
      <c r="B29" s="38" t="s">
        <v>72</v>
      </c>
      <c r="C29" s="179">
        <v>43492</v>
      </c>
      <c r="D29" s="38">
        <v>50</v>
      </c>
      <c r="E29" s="38" t="s">
        <v>122</v>
      </c>
      <c r="F29" s="22">
        <v>150000</v>
      </c>
      <c r="G29" s="38" t="s">
        <v>130</v>
      </c>
      <c r="H29" s="179">
        <v>43549</v>
      </c>
      <c r="I29" s="38" t="s">
        <v>139</v>
      </c>
      <c r="J29" s="38" t="s">
        <v>376</v>
      </c>
      <c r="R29" s="20"/>
      <c r="T29" s="20"/>
      <c r="V29" s="20"/>
    </row>
    <row r="30" spans="1:22">
      <c r="A30" s="38">
        <v>7620</v>
      </c>
      <c r="B30" s="38" t="s">
        <v>72</v>
      </c>
      <c r="C30" s="179">
        <v>43492</v>
      </c>
      <c r="D30" s="38">
        <v>194</v>
      </c>
      <c r="E30" s="38" t="s">
        <v>137</v>
      </c>
      <c r="F30" s="22">
        <v>150000</v>
      </c>
      <c r="G30" s="38" t="s">
        <v>130</v>
      </c>
      <c r="H30" s="179">
        <v>43723</v>
      </c>
      <c r="I30" s="38" t="s">
        <v>139</v>
      </c>
      <c r="J30" s="38" t="s">
        <v>376</v>
      </c>
      <c r="R30" s="20"/>
      <c r="T30" s="20"/>
      <c r="V30" s="20"/>
    </row>
    <row r="31" spans="1:22">
      <c r="A31" s="38">
        <v>7620</v>
      </c>
      <c r="B31" s="38" t="s">
        <v>72</v>
      </c>
      <c r="C31" s="179">
        <v>43492</v>
      </c>
      <c r="D31" s="38">
        <v>228</v>
      </c>
      <c r="E31" s="38" t="s">
        <v>123</v>
      </c>
      <c r="F31" s="22">
        <v>-150000</v>
      </c>
      <c r="G31" s="38" t="s">
        <v>130</v>
      </c>
      <c r="H31" s="179">
        <v>43723</v>
      </c>
      <c r="I31" s="38" t="s">
        <v>139</v>
      </c>
      <c r="J31" s="38" t="s">
        <v>376</v>
      </c>
      <c r="R31" s="20"/>
      <c r="T31" s="20"/>
      <c r="V31" s="20"/>
    </row>
    <row r="32" spans="1:22">
      <c r="A32" s="38">
        <v>9320</v>
      </c>
      <c r="B32" s="38" t="s">
        <v>82</v>
      </c>
      <c r="C32" s="179">
        <v>43489</v>
      </c>
      <c r="D32" s="38">
        <v>14</v>
      </c>
      <c r="E32" s="38" t="s">
        <v>121</v>
      </c>
      <c r="F32" s="22">
        <v>20000</v>
      </c>
      <c r="G32" s="38" t="s">
        <v>130</v>
      </c>
      <c r="H32" s="179">
        <v>43549</v>
      </c>
      <c r="I32" s="38" t="s">
        <v>142</v>
      </c>
      <c r="J32" s="38" t="s">
        <v>376</v>
      </c>
      <c r="R32" s="20"/>
      <c r="T32" s="20"/>
      <c r="V32" s="20"/>
    </row>
    <row r="33" spans="1:22">
      <c r="A33" s="38">
        <v>8730</v>
      </c>
      <c r="B33" s="38" t="s">
        <v>81</v>
      </c>
      <c r="C33" s="179">
        <v>43489</v>
      </c>
      <c r="D33" s="38">
        <v>15</v>
      </c>
      <c r="E33" s="38" t="s">
        <v>120</v>
      </c>
      <c r="F33" s="22">
        <v>101447</v>
      </c>
      <c r="G33" s="38" t="s">
        <v>130</v>
      </c>
      <c r="H33" s="179">
        <v>43549</v>
      </c>
      <c r="I33" s="38" t="s">
        <v>155</v>
      </c>
      <c r="J33" s="38" t="s">
        <v>376</v>
      </c>
      <c r="R33" s="20"/>
      <c r="T33" s="20"/>
      <c r="V33" s="20"/>
    </row>
    <row r="34" spans="1:22">
      <c r="A34" s="38">
        <v>7810</v>
      </c>
      <c r="B34" s="38" t="s">
        <v>76</v>
      </c>
      <c r="C34" s="179">
        <v>43489</v>
      </c>
      <c r="D34" s="38">
        <v>14</v>
      </c>
      <c r="E34" s="38" t="s">
        <v>121</v>
      </c>
      <c r="F34" s="22">
        <v>-20000</v>
      </c>
      <c r="G34" s="38" t="s">
        <v>130</v>
      </c>
      <c r="H34" s="179">
        <v>43549</v>
      </c>
      <c r="I34" s="38" t="s">
        <v>141</v>
      </c>
      <c r="J34" s="38" t="s">
        <v>376</v>
      </c>
      <c r="R34" s="20"/>
      <c r="T34" s="20"/>
      <c r="V34" s="20"/>
    </row>
    <row r="35" spans="1:22">
      <c r="A35" s="38">
        <v>7810</v>
      </c>
      <c r="B35" s="38" t="s">
        <v>76</v>
      </c>
      <c r="C35" s="179">
        <v>43489</v>
      </c>
      <c r="D35" s="38">
        <v>15</v>
      </c>
      <c r="E35" s="38" t="s">
        <v>120</v>
      </c>
      <c r="F35" s="22">
        <v>-126848</v>
      </c>
      <c r="G35" s="38" t="s">
        <v>130</v>
      </c>
      <c r="H35" s="179">
        <v>43549</v>
      </c>
      <c r="I35" s="38" t="s">
        <v>141</v>
      </c>
      <c r="J35" s="38" t="s">
        <v>376</v>
      </c>
      <c r="R35" s="20"/>
      <c r="T35" s="20"/>
      <c r="V35" s="20"/>
    </row>
    <row r="36" spans="1:22">
      <c r="A36" s="38">
        <v>6220</v>
      </c>
      <c r="B36" s="38" t="s">
        <v>45</v>
      </c>
      <c r="C36" s="179">
        <v>43489</v>
      </c>
      <c r="D36" s="38">
        <v>15</v>
      </c>
      <c r="E36" s="38" t="s">
        <v>120</v>
      </c>
      <c r="F36" s="22">
        <v>1924</v>
      </c>
      <c r="G36" s="38" t="s">
        <v>130</v>
      </c>
      <c r="H36" s="179">
        <v>43549</v>
      </c>
      <c r="I36" s="38" t="s">
        <v>378</v>
      </c>
      <c r="J36" s="38" t="s">
        <v>375</v>
      </c>
      <c r="R36" s="20"/>
      <c r="T36" s="20"/>
      <c r="V36" s="20"/>
    </row>
    <row r="37" spans="1:22">
      <c r="A37" s="38">
        <v>6200</v>
      </c>
      <c r="B37" s="38" t="s">
        <v>21</v>
      </c>
      <c r="C37" s="179">
        <v>43489</v>
      </c>
      <c r="D37" s="38">
        <v>15</v>
      </c>
      <c r="E37" s="38" t="s">
        <v>120</v>
      </c>
      <c r="F37" s="22">
        <v>23477</v>
      </c>
      <c r="G37" s="38" t="s">
        <v>130</v>
      </c>
      <c r="H37" s="179">
        <v>43549</v>
      </c>
      <c r="I37" s="38" t="s">
        <v>378</v>
      </c>
      <c r="J37" s="38" t="s">
        <v>375</v>
      </c>
      <c r="R37" s="20"/>
      <c r="T37" s="20"/>
      <c r="V37" s="20"/>
    </row>
    <row r="38" spans="1:22">
      <c r="A38" s="38">
        <v>7810</v>
      </c>
      <c r="B38" s="38" t="s">
        <v>76</v>
      </c>
      <c r="C38" s="179">
        <v>43487</v>
      </c>
      <c r="D38" s="38">
        <v>177</v>
      </c>
      <c r="E38" s="38" t="s">
        <v>100</v>
      </c>
      <c r="F38" s="22">
        <v>-10311</v>
      </c>
      <c r="G38" s="38" t="s">
        <v>130</v>
      </c>
      <c r="H38" s="179">
        <v>43723</v>
      </c>
      <c r="I38" s="38" t="s">
        <v>141</v>
      </c>
      <c r="J38" s="38" t="s">
        <v>376</v>
      </c>
      <c r="R38" s="20"/>
      <c r="T38" s="20"/>
      <c r="V38" s="20"/>
    </row>
    <row r="39" spans="1:22">
      <c r="A39" s="38">
        <v>7810</v>
      </c>
      <c r="B39" s="38" t="s">
        <v>76</v>
      </c>
      <c r="C39" s="179">
        <v>43487</v>
      </c>
      <c r="D39" s="38">
        <v>227</v>
      </c>
      <c r="E39" s="38" t="s">
        <v>119</v>
      </c>
      <c r="F39" s="22">
        <v>10311</v>
      </c>
      <c r="G39" s="38" t="s">
        <v>130</v>
      </c>
      <c r="H39" s="179">
        <v>43723</v>
      </c>
      <c r="I39" s="38" t="s">
        <v>141</v>
      </c>
      <c r="J39" s="38" t="s">
        <v>376</v>
      </c>
      <c r="R39" s="20"/>
      <c r="T39" s="20"/>
      <c r="V39" s="20"/>
    </row>
    <row r="40" spans="1:22">
      <c r="A40" s="38">
        <v>4330</v>
      </c>
      <c r="B40" s="38" t="s">
        <v>99</v>
      </c>
      <c r="C40" s="179">
        <v>43487</v>
      </c>
      <c r="D40" s="38">
        <v>177</v>
      </c>
      <c r="E40" s="38" t="s">
        <v>100</v>
      </c>
      <c r="F40" s="22">
        <v>10311</v>
      </c>
      <c r="G40" s="38" t="s">
        <v>130</v>
      </c>
      <c r="H40" s="179">
        <v>43723</v>
      </c>
      <c r="I40" s="38" t="s">
        <v>377</v>
      </c>
      <c r="J40" s="38" t="s">
        <v>375</v>
      </c>
      <c r="R40" s="20"/>
      <c r="T40" s="20"/>
      <c r="V40" s="20"/>
    </row>
    <row r="41" spans="1:22">
      <c r="A41" s="38">
        <v>4330</v>
      </c>
      <c r="B41" s="38" t="s">
        <v>99</v>
      </c>
      <c r="C41" s="179">
        <v>43487</v>
      </c>
      <c r="D41" s="38">
        <v>227</v>
      </c>
      <c r="E41" s="38" t="s">
        <v>119</v>
      </c>
      <c r="F41" s="22">
        <v>-10311</v>
      </c>
      <c r="G41" s="38" t="s">
        <v>130</v>
      </c>
      <c r="H41" s="179">
        <v>43723</v>
      </c>
      <c r="I41" s="38" t="s">
        <v>377</v>
      </c>
      <c r="J41" s="38" t="s">
        <v>375</v>
      </c>
      <c r="R41" s="20"/>
      <c r="T41" s="20"/>
      <c r="V41" s="20"/>
    </row>
    <row r="42" spans="1:22">
      <c r="A42" s="38">
        <v>7840</v>
      </c>
      <c r="B42" s="38" t="s">
        <v>78</v>
      </c>
      <c r="C42" s="179">
        <v>43485</v>
      </c>
      <c r="D42" s="38">
        <v>13</v>
      </c>
      <c r="E42" s="38" t="s">
        <v>118</v>
      </c>
      <c r="F42" s="22">
        <v>-289636</v>
      </c>
      <c r="G42" s="38" t="s">
        <v>130</v>
      </c>
      <c r="H42" s="179">
        <v>43549</v>
      </c>
      <c r="I42" s="38" t="s">
        <v>141</v>
      </c>
      <c r="J42" s="38" t="s">
        <v>376</v>
      </c>
      <c r="R42" s="20"/>
      <c r="T42" s="20"/>
      <c r="V42" s="20"/>
    </row>
    <row r="43" spans="1:22">
      <c r="A43" s="38">
        <v>7810</v>
      </c>
      <c r="B43" s="38" t="s">
        <v>76</v>
      </c>
      <c r="C43" s="179">
        <v>43485</v>
      </c>
      <c r="D43" s="38">
        <v>13</v>
      </c>
      <c r="E43" s="38" t="s">
        <v>118</v>
      </c>
      <c r="F43" s="22">
        <v>289636</v>
      </c>
      <c r="G43" s="38" t="s">
        <v>130</v>
      </c>
      <c r="H43" s="179">
        <v>43549</v>
      </c>
      <c r="I43" s="38" t="s">
        <v>141</v>
      </c>
      <c r="J43" s="38" t="s">
        <v>376</v>
      </c>
      <c r="R43" s="20"/>
      <c r="T43" s="20"/>
      <c r="V43" s="20"/>
    </row>
    <row r="44" spans="1:22">
      <c r="A44" s="38">
        <v>9511</v>
      </c>
      <c r="B44" s="38" t="s">
        <v>84</v>
      </c>
      <c r="C44" s="179">
        <v>43484</v>
      </c>
      <c r="D44" s="38">
        <v>10</v>
      </c>
      <c r="E44" s="38" t="s">
        <v>117</v>
      </c>
      <c r="F44" s="22">
        <v>1076</v>
      </c>
      <c r="G44" s="38" t="s">
        <v>130</v>
      </c>
      <c r="H44" s="179">
        <v>43549</v>
      </c>
      <c r="I44" s="38" t="s">
        <v>143</v>
      </c>
      <c r="J44" s="38" t="s">
        <v>376</v>
      </c>
      <c r="R44" s="20"/>
      <c r="T44" s="20"/>
      <c r="V44" s="20"/>
    </row>
    <row r="45" spans="1:22">
      <c r="A45" s="38">
        <v>9325</v>
      </c>
      <c r="B45" s="38" t="s">
        <v>83</v>
      </c>
      <c r="C45" s="179">
        <v>43484</v>
      </c>
      <c r="D45" s="38">
        <v>10</v>
      </c>
      <c r="E45" s="38" t="s">
        <v>117</v>
      </c>
      <c r="F45" s="22">
        <v>-5557</v>
      </c>
      <c r="G45" s="38" t="s">
        <v>130</v>
      </c>
      <c r="H45" s="179">
        <v>43549</v>
      </c>
      <c r="I45" s="38" t="s">
        <v>143</v>
      </c>
      <c r="J45" s="38" t="s">
        <v>376</v>
      </c>
      <c r="R45" s="20"/>
      <c r="T45" s="20"/>
      <c r="V45" s="20"/>
    </row>
    <row r="46" spans="1:22">
      <c r="A46" s="38">
        <v>4315</v>
      </c>
      <c r="B46" s="38" t="s">
        <v>116</v>
      </c>
      <c r="C46" s="179">
        <v>43484</v>
      </c>
      <c r="D46" s="38">
        <v>10</v>
      </c>
      <c r="E46" s="38" t="s">
        <v>117</v>
      </c>
      <c r="F46" s="22">
        <v>4481</v>
      </c>
      <c r="G46" s="38" t="s">
        <v>130</v>
      </c>
      <c r="H46" s="179">
        <v>43549</v>
      </c>
      <c r="I46" s="38" t="s">
        <v>377</v>
      </c>
      <c r="J46" s="38" t="s">
        <v>375</v>
      </c>
      <c r="R46" s="20"/>
      <c r="T46" s="20"/>
      <c r="V46" s="20"/>
    </row>
    <row r="47" spans="1:22">
      <c r="A47" s="38">
        <v>9533</v>
      </c>
      <c r="B47" s="38" t="s">
        <v>98</v>
      </c>
      <c r="C47" s="179">
        <v>43483</v>
      </c>
      <c r="D47" s="38">
        <v>245</v>
      </c>
      <c r="E47" s="38" t="s">
        <v>115</v>
      </c>
      <c r="F47" s="22">
        <v>-14300</v>
      </c>
      <c r="G47" s="38" t="s">
        <v>129</v>
      </c>
      <c r="H47" s="179">
        <v>43856</v>
      </c>
      <c r="I47" s="38" t="s">
        <v>143</v>
      </c>
      <c r="J47" s="38" t="s">
        <v>376</v>
      </c>
      <c r="R47" s="20"/>
      <c r="T47" s="20"/>
      <c r="V47" s="20"/>
    </row>
    <row r="48" spans="1:22">
      <c r="A48" s="38">
        <v>9533</v>
      </c>
      <c r="B48" s="38" t="s">
        <v>98</v>
      </c>
      <c r="C48" s="179">
        <v>43483</v>
      </c>
      <c r="D48" s="38">
        <v>246</v>
      </c>
      <c r="E48" s="38" t="s">
        <v>115</v>
      </c>
      <c r="F48" s="22">
        <v>14300</v>
      </c>
      <c r="G48" s="38" t="s">
        <v>129</v>
      </c>
      <c r="H48" s="179">
        <v>43864</v>
      </c>
      <c r="I48" s="38" t="s">
        <v>143</v>
      </c>
      <c r="J48" s="38" t="s">
        <v>376</v>
      </c>
      <c r="R48" s="20"/>
      <c r="T48" s="20"/>
      <c r="V48" s="20"/>
    </row>
    <row r="49" spans="1:22">
      <c r="A49" s="38">
        <v>7620</v>
      </c>
      <c r="B49" s="38" t="s">
        <v>72</v>
      </c>
      <c r="C49" s="179">
        <v>43483</v>
      </c>
      <c r="D49" s="38">
        <v>245</v>
      </c>
      <c r="E49" s="38" t="s">
        <v>115</v>
      </c>
      <c r="F49" s="22">
        <v>144300</v>
      </c>
      <c r="G49" s="38" t="s">
        <v>129</v>
      </c>
      <c r="H49" s="179">
        <v>43856</v>
      </c>
      <c r="I49" s="38" t="s">
        <v>139</v>
      </c>
      <c r="J49" s="38" t="s">
        <v>376</v>
      </c>
      <c r="R49" s="20"/>
      <c r="T49" s="20"/>
      <c r="V49" s="20"/>
    </row>
    <row r="50" spans="1:22">
      <c r="A50" s="38">
        <v>7620</v>
      </c>
      <c r="B50" s="38" t="s">
        <v>72</v>
      </c>
      <c r="C50" s="179">
        <v>43483</v>
      </c>
      <c r="D50" s="38">
        <v>246</v>
      </c>
      <c r="E50" s="38" t="s">
        <v>115</v>
      </c>
      <c r="F50" s="22">
        <v>-144300</v>
      </c>
      <c r="G50" s="38" t="s">
        <v>129</v>
      </c>
      <c r="H50" s="179">
        <v>43864</v>
      </c>
      <c r="I50" s="38" t="s">
        <v>139</v>
      </c>
      <c r="J50" s="38" t="s">
        <v>376</v>
      </c>
      <c r="R50" s="20"/>
      <c r="T50" s="20"/>
      <c r="V50" s="20"/>
    </row>
    <row r="51" spans="1:22">
      <c r="A51" s="38">
        <v>1115</v>
      </c>
      <c r="B51" s="38" t="s">
        <v>114</v>
      </c>
      <c r="C51" s="179">
        <v>43483</v>
      </c>
      <c r="D51" s="38">
        <v>245</v>
      </c>
      <c r="E51" s="38" t="s">
        <v>55</v>
      </c>
      <c r="F51" s="22">
        <v>-130000</v>
      </c>
      <c r="G51" s="38" t="s">
        <v>129</v>
      </c>
      <c r="H51" s="179">
        <v>43856</v>
      </c>
      <c r="I51" s="38" t="s">
        <v>9</v>
      </c>
      <c r="J51" s="38" t="s">
        <v>375</v>
      </c>
      <c r="R51" s="20"/>
      <c r="T51" s="20"/>
      <c r="V51" s="20"/>
    </row>
    <row r="52" spans="1:22">
      <c r="A52" s="38">
        <v>1115</v>
      </c>
      <c r="B52" s="38" t="s">
        <v>114</v>
      </c>
      <c r="C52" s="179">
        <v>43483</v>
      </c>
      <c r="D52" s="38">
        <v>246</v>
      </c>
      <c r="E52" s="38" t="s">
        <v>55</v>
      </c>
      <c r="F52" s="22">
        <v>130000</v>
      </c>
      <c r="G52" s="38" t="s">
        <v>129</v>
      </c>
      <c r="H52" s="179">
        <v>43864</v>
      </c>
      <c r="I52" s="38" t="s">
        <v>9</v>
      </c>
      <c r="J52" s="38" t="s">
        <v>375</v>
      </c>
      <c r="R52" s="20"/>
      <c r="T52" s="20"/>
      <c r="V52" s="20"/>
    </row>
    <row r="53" spans="1:22">
      <c r="A53" s="38">
        <v>7810</v>
      </c>
      <c r="B53" s="38" t="s">
        <v>76</v>
      </c>
      <c r="C53" s="179">
        <v>43482</v>
      </c>
      <c r="D53" s="38">
        <v>5</v>
      </c>
      <c r="E53" s="38" t="s">
        <v>113</v>
      </c>
      <c r="F53" s="22">
        <v>166500</v>
      </c>
      <c r="G53" s="38" t="s">
        <v>137</v>
      </c>
      <c r="H53" s="179">
        <v>43544</v>
      </c>
      <c r="I53" s="38" t="s">
        <v>141</v>
      </c>
      <c r="J53" s="38" t="s">
        <v>376</v>
      </c>
      <c r="R53" s="20"/>
      <c r="T53" s="20"/>
      <c r="V53" s="20"/>
    </row>
    <row r="54" spans="1:22">
      <c r="A54" s="38">
        <v>7620</v>
      </c>
      <c r="B54" s="38" t="s">
        <v>72</v>
      </c>
      <c r="C54" s="179">
        <v>43482</v>
      </c>
      <c r="D54" s="38">
        <v>5</v>
      </c>
      <c r="E54" s="38" t="s">
        <v>113</v>
      </c>
      <c r="F54" s="22">
        <v>-166500</v>
      </c>
      <c r="G54" s="38" t="s">
        <v>137</v>
      </c>
      <c r="H54" s="179">
        <v>43544</v>
      </c>
      <c r="I54" s="38" t="s">
        <v>139</v>
      </c>
      <c r="J54" s="38" t="s">
        <v>376</v>
      </c>
      <c r="R54" s="20"/>
      <c r="T54" s="20"/>
      <c r="V54" s="20"/>
    </row>
    <row r="55" spans="1:22">
      <c r="A55" s="38">
        <v>9630</v>
      </c>
      <c r="B55" s="38" t="s">
        <v>112</v>
      </c>
      <c r="C55" s="179">
        <v>43480</v>
      </c>
      <c r="D55" s="38">
        <v>6</v>
      </c>
      <c r="E55" s="38" t="s">
        <v>108</v>
      </c>
      <c r="F55" s="22">
        <v>52330</v>
      </c>
      <c r="G55" s="38" t="s">
        <v>137</v>
      </c>
      <c r="H55" s="179">
        <v>43544</v>
      </c>
      <c r="I55" s="38" t="s">
        <v>143</v>
      </c>
      <c r="J55" s="38" t="s">
        <v>376</v>
      </c>
      <c r="R55" s="20"/>
      <c r="T55" s="20"/>
      <c r="V55" s="20"/>
    </row>
    <row r="56" spans="1:22">
      <c r="A56" s="38">
        <v>9320</v>
      </c>
      <c r="B56" s="38" t="s">
        <v>82</v>
      </c>
      <c r="C56" s="179">
        <v>43480</v>
      </c>
      <c r="D56" s="38">
        <v>6</v>
      </c>
      <c r="E56" s="38" t="s">
        <v>64</v>
      </c>
      <c r="F56" s="22">
        <v>5011</v>
      </c>
      <c r="G56" s="38" t="s">
        <v>137</v>
      </c>
      <c r="H56" s="179">
        <v>43544</v>
      </c>
      <c r="I56" s="38" t="s">
        <v>142</v>
      </c>
      <c r="J56" s="38" t="s">
        <v>376</v>
      </c>
      <c r="R56" s="20"/>
      <c r="T56" s="20"/>
      <c r="V56" s="20"/>
    </row>
    <row r="57" spans="1:22">
      <c r="A57" s="38">
        <v>9320</v>
      </c>
      <c r="B57" s="38" t="s">
        <v>82</v>
      </c>
      <c r="C57" s="179">
        <v>43480</v>
      </c>
      <c r="D57" s="38">
        <v>6</v>
      </c>
      <c r="E57" s="38" t="s">
        <v>64</v>
      </c>
      <c r="F57" s="22">
        <v>24290</v>
      </c>
      <c r="G57" s="38" t="s">
        <v>137</v>
      </c>
      <c r="H57" s="179">
        <v>43544</v>
      </c>
      <c r="I57" s="38" t="s">
        <v>142</v>
      </c>
      <c r="J57" s="38" t="s">
        <v>376</v>
      </c>
      <c r="R57" s="20"/>
      <c r="T57" s="20"/>
      <c r="V57" s="20"/>
    </row>
    <row r="58" spans="1:22">
      <c r="A58" s="38">
        <v>9320</v>
      </c>
      <c r="B58" s="38" t="s">
        <v>82</v>
      </c>
      <c r="C58" s="179">
        <v>43480</v>
      </c>
      <c r="D58" s="38">
        <v>6</v>
      </c>
      <c r="E58" s="38" t="s">
        <v>68</v>
      </c>
      <c r="F58" s="22">
        <v>11770</v>
      </c>
      <c r="G58" s="38" t="s">
        <v>137</v>
      </c>
      <c r="H58" s="179">
        <v>43544</v>
      </c>
      <c r="I58" s="38" t="s">
        <v>142</v>
      </c>
      <c r="J58" s="38" t="s">
        <v>376</v>
      </c>
      <c r="R58" s="20"/>
      <c r="T58" s="20"/>
      <c r="V58" s="20"/>
    </row>
    <row r="59" spans="1:22">
      <c r="A59" s="38">
        <v>9320</v>
      </c>
      <c r="B59" s="38" t="s">
        <v>82</v>
      </c>
      <c r="C59" s="179">
        <v>43480</v>
      </c>
      <c r="D59" s="38">
        <v>6</v>
      </c>
      <c r="E59" s="38" t="s">
        <v>135</v>
      </c>
      <c r="F59" s="22">
        <v>10925</v>
      </c>
      <c r="G59" s="38" t="s">
        <v>137</v>
      </c>
      <c r="H59" s="179">
        <v>43544</v>
      </c>
      <c r="I59" s="38" t="s">
        <v>142</v>
      </c>
      <c r="J59" s="38" t="s">
        <v>376</v>
      </c>
      <c r="R59" s="20"/>
      <c r="T59" s="20"/>
      <c r="V59" s="20"/>
    </row>
    <row r="60" spans="1:22">
      <c r="A60" s="38">
        <v>7810</v>
      </c>
      <c r="B60" s="38" t="s">
        <v>76</v>
      </c>
      <c r="C60" s="179">
        <v>43480</v>
      </c>
      <c r="D60" s="38">
        <v>6</v>
      </c>
      <c r="E60" s="38" t="s">
        <v>111</v>
      </c>
      <c r="F60" s="22">
        <v>-142040</v>
      </c>
      <c r="G60" s="38" t="s">
        <v>137</v>
      </c>
      <c r="H60" s="179">
        <v>43544</v>
      </c>
      <c r="I60" s="38" t="s">
        <v>141</v>
      </c>
      <c r="J60" s="38" t="s">
        <v>376</v>
      </c>
      <c r="R60" s="20"/>
      <c r="T60" s="20"/>
      <c r="V60" s="20"/>
    </row>
    <row r="61" spans="1:22">
      <c r="A61" s="38">
        <v>7620</v>
      </c>
      <c r="B61" s="38" t="s">
        <v>72</v>
      </c>
      <c r="C61" s="179">
        <v>43480</v>
      </c>
      <c r="D61" s="38">
        <v>6</v>
      </c>
      <c r="E61" s="38" t="s">
        <v>110</v>
      </c>
      <c r="F61" s="22">
        <v>6018</v>
      </c>
      <c r="G61" s="38" t="s">
        <v>137</v>
      </c>
      <c r="H61" s="179">
        <v>43544</v>
      </c>
      <c r="I61" s="38" t="s">
        <v>139</v>
      </c>
      <c r="J61" s="38" t="s">
        <v>376</v>
      </c>
      <c r="R61" s="20"/>
      <c r="T61" s="20"/>
      <c r="V61" s="20"/>
    </row>
    <row r="62" spans="1:22">
      <c r="A62" s="38">
        <v>7620</v>
      </c>
      <c r="B62" s="38" t="s">
        <v>72</v>
      </c>
      <c r="C62" s="179">
        <v>43480</v>
      </c>
      <c r="D62" s="38">
        <v>6</v>
      </c>
      <c r="E62" s="38" t="s">
        <v>110</v>
      </c>
      <c r="F62" s="22">
        <v>5785</v>
      </c>
      <c r="G62" s="38" t="s">
        <v>137</v>
      </c>
      <c r="H62" s="179">
        <v>43544</v>
      </c>
      <c r="I62" s="38" t="s">
        <v>139</v>
      </c>
      <c r="J62" s="38" t="s">
        <v>376</v>
      </c>
      <c r="R62" s="20"/>
      <c r="T62" s="20"/>
      <c r="V62" s="20"/>
    </row>
    <row r="63" spans="1:22">
      <c r="A63" s="38">
        <v>6200</v>
      </c>
      <c r="B63" s="38" t="s">
        <v>21</v>
      </c>
      <c r="C63" s="179">
        <v>43480</v>
      </c>
      <c r="D63" s="38">
        <v>6</v>
      </c>
      <c r="E63" s="38" t="s">
        <v>108</v>
      </c>
      <c r="F63" s="22">
        <v>751</v>
      </c>
      <c r="G63" s="38" t="s">
        <v>137</v>
      </c>
      <c r="H63" s="179">
        <v>43544</v>
      </c>
      <c r="I63" s="38" t="s">
        <v>378</v>
      </c>
      <c r="J63" s="38" t="s">
        <v>375</v>
      </c>
      <c r="R63" s="20"/>
      <c r="T63" s="20"/>
      <c r="V63" s="20"/>
    </row>
    <row r="64" spans="1:22">
      <c r="A64" s="38">
        <v>6200</v>
      </c>
      <c r="B64" s="38" t="s">
        <v>21</v>
      </c>
      <c r="C64" s="179">
        <v>43480</v>
      </c>
      <c r="D64" s="38">
        <v>6</v>
      </c>
      <c r="E64" s="38" t="s">
        <v>64</v>
      </c>
      <c r="F64" s="22">
        <v>723</v>
      </c>
      <c r="G64" s="38" t="s">
        <v>137</v>
      </c>
      <c r="H64" s="179">
        <v>43544</v>
      </c>
      <c r="I64" s="38" t="s">
        <v>378</v>
      </c>
      <c r="J64" s="38" t="s">
        <v>375</v>
      </c>
      <c r="R64" s="20"/>
      <c r="T64" s="20"/>
      <c r="V64" s="20"/>
    </row>
    <row r="65" spans="1:22">
      <c r="A65" s="38">
        <v>6200</v>
      </c>
      <c r="B65" s="38" t="s">
        <v>21</v>
      </c>
      <c r="C65" s="179">
        <v>43480</v>
      </c>
      <c r="D65" s="38">
        <v>6</v>
      </c>
      <c r="E65" s="38" t="s">
        <v>64</v>
      </c>
      <c r="F65" s="22">
        <v>849</v>
      </c>
      <c r="G65" s="38" t="s">
        <v>137</v>
      </c>
      <c r="H65" s="179">
        <v>43544</v>
      </c>
      <c r="I65" s="38" t="s">
        <v>378</v>
      </c>
      <c r="J65" s="38" t="s">
        <v>375</v>
      </c>
      <c r="R65" s="20"/>
      <c r="T65" s="20"/>
      <c r="V65" s="20"/>
    </row>
    <row r="66" spans="1:22">
      <c r="A66" s="38">
        <v>6200</v>
      </c>
      <c r="B66" s="38" t="s">
        <v>21</v>
      </c>
      <c r="C66" s="179">
        <v>43480</v>
      </c>
      <c r="D66" s="38">
        <v>6</v>
      </c>
      <c r="E66" s="38" t="s">
        <v>109</v>
      </c>
      <c r="F66" s="22">
        <v>11974</v>
      </c>
      <c r="G66" s="38" t="s">
        <v>137</v>
      </c>
      <c r="H66" s="179">
        <v>43544</v>
      </c>
      <c r="I66" s="38" t="s">
        <v>378</v>
      </c>
      <c r="J66" s="38" t="s">
        <v>375</v>
      </c>
      <c r="R66" s="20"/>
      <c r="T66" s="20"/>
      <c r="V66" s="20"/>
    </row>
    <row r="67" spans="1:22">
      <c r="A67" s="38">
        <v>6200</v>
      </c>
      <c r="B67" s="38" t="s">
        <v>21</v>
      </c>
      <c r="C67" s="179">
        <v>43480</v>
      </c>
      <c r="D67" s="38">
        <v>6</v>
      </c>
      <c r="E67" s="38" t="s">
        <v>135</v>
      </c>
      <c r="F67" s="22">
        <v>339</v>
      </c>
      <c r="G67" s="38" t="s">
        <v>137</v>
      </c>
      <c r="H67" s="179">
        <v>43544</v>
      </c>
      <c r="I67" s="38" t="s">
        <v>378</v>
      </c>
      <c r="J67" s="38" t="s">
        <v>375</v>
      </c>
      <c r="R67" s="20"/>
      <c r="T67" s="20"/>
      <c r="V67" s="20"/>
    </row>
    <row r="68" spans="1:22">
      <c r="A68" s="38">
        <v>4581</v>
      </c>
      <c r="B68" s="38" t="s">
        <v>105</v>
      </c>
      <c r="C68" s="179">
        <v>43480</v>
      </c>
      <c r="D68" s="38">
        <v>6</v>
      </c>
      <c r="E68" s="38" t="s">
        <v>106</v>
      </c>
      <c r="F68" s="22">
        <v>5000</v>
      </c>
      <c r="G68" s="38" t="s">
        <v>137</v>
      </c>
      <c r="H68" s="179">
        <v>43544</v>
      </c>
      <c r="I68" s="38" t="s">
        <v>377</v>
      </c>
      <c r="J68" s="38" t="s">
        <v>375</v>
      </c>
      <c r="R68" s="20"/>
      <c r="T68" s="20"/>
      <c r="V68" s="20"/>
    </row>
    <row r="69" spans="1:22">
      <c r="A69" s="38">
        <v>4581</v>
      </c>
      <c r="B69" s="38" t="s">
        <v>105</v>
      </c>
      <c r="C69" s="179">
        <v>43480</v>
      </c>
      <c r="D69" s="38">
        <v>6</v>
      </c>
      <c r="E69" s="38" t="s">
        <v>107</v>
      </c>
      <c r="F69" s="22">
        <v>6275</v>
      </c>
      <c r="G69" s="38" t="s">
        <v>137</v>
      </c>
      <c r="H69" s="179">
        <v>43544</v>
      </c>
      <c r="I69" s="38" t="s">
        <v>377</v>
      </c>
      <c r="J69" s="38" t="s">
        <v>375</v>
      </c>
      <c r="R69" s="20"/>
      <c r="T69" s="20"/>
      <c r="V69" s="20"/>
    </row>
    <row r="70" spans="1:22">
      <c r="A70" s="38">
        <v>7840</v>
      </c>
      <c r="B70" s="38" t="s">
        <v>78</v>
      </c>
      <c r="C70" s="179">
        <v>43479</v>
      </c>
      <c r="D70" s="38">
        <v>8</v>
      </c>
      <c r="E70" s="38" t="s">
        <v>104</v>
      </c>
      <c r="F70" s="22">
        <v>293396</v>
      </c>
      <c r="G70" s="38" t="s">
        <v>137</v>
      </c>
      <c r="H70" s="179">
        <v>43544</v>
      </c>
      <c r="I70" s="38" t="s">
        <v>141</v>
      </c>
      <c r="J70" s="38" t="s">
        <v>376</v>
      </c>
      <c r="R70" s="20"/>
      <c r="T70" s="20"/>
      <c r="V70" s="20"/>
    </row>
    <row r="71" spans="1:22">
      <c r="A71" s="38">
        <v>7840</v>
      </c>
      <c r="B71" s="38" t="s">
        <v>78</v>
      </c>
      <c r="C71" s="179">
        <v>43479</v>
      </c>
      <c r="D71" s="38">
        <v>9</v>
      </c>
      <c r="E71" s="38" t="s">
        <v>104</v>
      </c>
      <c r="F71" s="22">
        <v>-701</v>
      </c>
      <c r="G71" s="38" t="s">
        <v>137</v>
      </c>
      <c r="H71" s="179">
        <v>43544</v>
      </c>
      <c r="I71" s="38" t="s">
        <v>141</v>
      </c>
      <c r="J71" s="38" t="s">
        <v>376</v>
      </c>
      <c r="R71" s="20"/>
      <c r="T71" s="20"/>
      <c r="V71" s="20"/>
    </row>
    <row r="72" spans="1:22">
      <c r="A72" s="38">
        <v>7620</v>
      </c>
      <c r="B72" s="38" t="s">
        <v>72</v>
      </c>
      <c r="C72" s="179">
        <v>43479</v>
      </c>
      <c r="D72" s="38">
        <v>8</v>
      </c>
      <c r="E72" s="38" t="s">
        <v>104</v>
      </c>
      <c r="F72" s="22">
        <v>-293396</v>
      </c>
      <c r="G72" s="38" t="s">
        <v>137</v>
      </c>
      <c r="H72" s="179">
        <v>43544</v>
      </c>
      <c r="I72" s="38" t="s">
        <v>139</v>
      </c>
      <c r="J72" s="38" t="s">
        <v>376</v>
      </c>
      <c r="R72" s="20"/>
      <c r="T72" s="20"/>
      <c r="V72" s="20"/>
    </row>
    <row r="73" spans="1:22">
      <c r="A73" s="38">
        <v>4650</v>
      </c>
      <c r="B73" s="38" t="s">
        <v>87</v>
      </c>
      <c r="C73" s="179">
        <v>43479</v>
      </c>
      <c r="D73" s="38">
        <v>9</v>
      </c>
      <c r="E73" s="38" t="s">
        <v>104</v>
      </c>
      <c r="F73" s="22">
        <v>701</v>
      </c>
      <c r="G73" s="38" t="s">
        <v>137</v>
      </c>
      <c r="H73" s="179">
        <v>43544</v>
      </c>
      <c r="I73" s="38" t="s">
        <v>377</v>
      </c>
      <c r="J73" s="38" t="s">
        <v>375</v>
      </c>
      <c r="R73" s="20"/>
      <c r="T73" s="20"/>
      <c r="V73" s="20"/>
    </row>
    <row r="74" spans="1:22">
      <c r="A74" s="38">
        <v>9533</v>
      </c>
      <c r="B74" s="38" t="s">
        <v>98</v>
      </c>
      <c r="C74" s="179">
        <v>43477</v>
      </c>
      <c r="D74" s="38">
        <v>243</v>
      </c>
      <c r="E74" s="38" t="s">
        <v>452</v>
      </c>
      <c r="F74" s="22">
        <v>-31170</v>
      </c>
      <c r="G74" s="38" t="s">
        <v>129</v>
      </c>
      <c r="H74" s="179">
        <v>43477</v>
      </c>
      <c r="I74" s="38" t="s">
        <v>143</v>
      </c>
      <c r="J74" s="38" t="s">
        <v>376</v>
      </c>
      <c r="R74" s="20"/>
      <c r="T74" s="20"/>
      <c r="V74" s="20"/>
    </row>
    <row r="75" spans="1:22">
      <c r="A75" s="38">
        <v>7810</v>
      </c>
      <c r="B75" s="38" t="s">
        <v>76</v>
      </c>
      <c r="C75" s="179">
        <v>43477</v>
      </c>
      <c r="D75" s="38">
        <v>48</v>
      </c>
      <c r="E75" s="38" t="s">
        <v>100</v>
      </c>
      <c r="F75" s="22">
        <v>-12563</v>
      </c>
      <c r="G75" s="38" t="s">
        <v>137</v>
      </c>
      <c r="H75" s="179">
        <v>43549</v>
      </c>
      <c r="I75" s="38" t="s">
        <v>141</v>
      </c>
      <c r="J75" s="38" t="s">
        <v>376</v>
      </c>
      <c r="R75" s="20"/>
      <c r="T75" s="20"/>
      <c r="V75" s="20"/>
    </row>
    <row r="76" spans="1:22">
      <c r="A76" s="38">
        <v>7810</v>
      </c>
      <c r="B76" s="38" t="s">
        <v>76</v>
      </c>
      <c r="C76" s="179">
        <v>43477</v>
      </c>
      <c r="D76" s="38">
        <v>49</v>
      </c>
      <c r="E76" s="38" t="s">
        <v>100</v>
      </c>
      <c r="F76" s="22">
        <v>-10311</v>
      </c>
      <c r="G76" s="38" t="s">
        <v>137</v>
      </c>
      <c r="H76" s="179">
        <v>43549</v>
      </c>
      <c r="I76" s="38" t="s">
        <v>141</v>
      </c>
      <c r="J76" s="38" t="s">
        <v>376</v>
      </c>
      <c r="R76" s="20"/>
      <c r="T76" s="20"/>
      <c r="V76" s="20"/>
    </row>
    <row r="77" spans="1:22">
      <c r="A77" s="38">
        <v>7810</v>
      </c>
      <c r="B77" s="38" t="s">
        <v>76</v>
      </c>
      <c r="C77" s="179">
        <v>43477</v>
      </c>
      <c r="D77" s="38">
        <v>178</v>
      </c>
      <c r="E77" s="38" t="s">
        <v>100</v>
      </c>
      <c r="F77" s="22">
        <v>-12563</v>
      </c>
      <c r="G77" s="38" t="s">
        <v>137</v>
      </c>
      <c r="H77" s="179">
        <v>43723</v>
      </c>
      <c r="I77" s="38" t="s">
        <v>141</v>
      </c>
      <c r="J77" s="38" t="s">
        <v>376</v>
      </c>
      <c r="R77" s="20"/>
      <c r="T77" s="20"/>
      <c r="V77" s="20"/>
    </row>
    <row r="78" spans="1:22">
      <c r="A78" s="38">
        <v>7810</v>
      </c>
      <c r="B78" s="38" t="s">
        <v>76</v>
      </c>
      <c r="C78" s="179">
        <v>43477</v>
      </c>
      <c r="D78" s="38">
        <v>187</v>
      </c>
      <c r="E78" s="38" t="s">
        <v>102</v>
      </c>
      <c r="F78" s="22">
        <v>-559</v>
      </c>
      <c r="G78" s="38" t="s">
        <v>137</v>
      </c>
      <c r="H78" s="179">
        <v>43723</v>
      </c>
      <c r="I78" s="38" t="s">
        <v>141</v>
      </c>
      <c r="J78" s="38" t="s">
        <v>376</v>
      </c>
      <c r="R78" s="20"/>
      <c r="T78" s="20"/>
      <c r="V78" s="20"/>
    </row>
    <row r="79" spans="1:22">
      <c r="A79" s="38">
        <v>7810</v>
      </c>
      <c r="B79" s="38" t="s">
        <v>76</v>
      </c>
      <c r="C79" s="179">
        <v>43477</v>
      </c>
      <c r="D79" s="38">
        <v>225</v>
      </c>
      <c r="E79" s="38" t="s">
        <v>101</v>
      </c>
      <c r="F79" s="22">
        <v>12563</v>
      </c>
      <c r="G79" s="38" t="s">
        <v>137</v>
      </c>
      <c r="H79" s="179">
        <v>43723</v>
      </c>
      <c r="I79" s="38" t="s">
        <v>141</v>
      </c>
      <c r="J79" s="38" t="s">
        <v>376</v>
      </c>
      <c r="R79" s="20"/>
      <c r="T79" s="20"/>
      <c r="V79" s="20"/>
    </row>
    <row r="80" spans="1:22">
      <c r="A80" s="38">
        <v>7810</v>
      </c>
      <c r="B80" s="38" t="s">
        <v>76</v>
      </c>
      <c r="C80" s="179">
        <v>43477</v>
      </c>
      <c r="D80" s="38">
        <v>226</v>
      </c>
      <c r="E80" s="38" t="s">
        <v>103</v>
      </c>
      <c r="F80" s="22">
        <v>559</v>
      </c>
      <c r="G80" s="38" t="s">
        <v>137</v>
      </c>
      <c r="H80" s="179">
        <v>43723</v>
      </c>
      <c r="I80" s="38" t="s">
        <v>141</v>
      </c>
      <c r="J80" s="38" t="s">
        <v>376</v>
      </c>
      <c r="R80" s="20"/>
      <c r="T80" s="20"/>
      <c r="V80" s="20"/>
    </row>
    <row r="81" spans="1:22">
      <c r="A81" s="38">
        <v>7620</v>
      </c>
      <c r="B81" s="38" t="s">
        <v>72</v>
      </c>
      <c r="C81" s="179">
        <v>43477</v>
      </c>
      <c r="D81" s="38">
        <v>243</v>
      </c>
      <c r="E81" s="38" t="s">
        <v>452</v>
      </c>
      <c r="F81" s="22">
        <v>314530</v>
      </c>
      <c r="G81" s="38" t="s">
        <v>129</v>
      </c>
      <c r="H81" s="179">
        <v>43477</v>
      </c>
      <c r="I81" s="38" t="s">
        <v>139</v>
      </c>
      <c r="J81" s="38" t="s">
        <v>376</v>
      </c>
      <c r="R81" s="20"/>
      <c r="T81" s="20"/>
      <c r="V81" s="20"/>
    </row>
    <row r="82" spans="1:22">
      <c r="A82" s="38">
        <v>4650</v>
      </c>
      <c r="B82" s="38" t="s">
        <v>87</v>
      </c>
      <c r="C82" s="179">
        <v>43477</v>
      </c>
      <c r="D82" s="38">
        <v>187</v>
      </c>
      <c r="E82" s="38" t="s">
        <v>102</v>
      </c>
      <c r="F82" s="22">
        <v>559</v>
      </c>
      <c r="G82" s="38" t="s">
        <v>137</v>
      </c>
      <c r="H82" s="179">
        <v>43723</v>
      </c>
      <c r="I82" s="38" t="s">
        <v>377</v>
      </c>
      <c r="J82" s="38" t="s">
        <v>375</v>
      </c>
      <c r="R82" s="20"/>
      <c r="T82" s="20"/>
      <c r="V82" s="20"/>
    </row>
    <row r="83" spans="1:22">
      <c r="A83" s="38">
        <v>4650</v>
      </c>
      <c r="B83" s="38" t="s">
        <v>87</v>
      </c>
      <c r="C83" s="179">
        <v>43477</v>
      </c>
      <c r="D83" s="38">
        <v>226</v>
      </c>
      <c r="E83" s="38" t="s">
        <v>103</v>
      </c>
      <c r="F83" s="22">
        <v>-559</v>
      </c>
      <c r="G83" s="38" t="s">
        <v>137</v>
      </c>
      <c r="H83" s="179">
        <v>43723</v>
      </c>
      <c r="I83" s="38" t="s">
        <v>377</v>
      </c>
      <c r="J83" s="38" t="s">
        <v>375</v>
      </c>
      <c r="R83" s="20"/>
      <c r="T83" s="20"/>
      <c r="V83" s="20"/>
    </row>
    <row r="84" spans="1:22">
      <c r="A84" s="38">
        <v>4330</v>
      </c>
      <c r="B84" s="38" t="s">
        <v>99</v>
      </c>
      <c r="C84" s="179">
        <v>43477</v>
      </c>
      <c r="D84" s="38">
        <v>48</v>
      </c>
      <c r="E84" s="38" t="s">
        <v>100</v>
      </c>
      <c r="F84" s="22">
        <v>12563</v>
      </c>
      <c r="G84" s="38" t="s">
        <v>137</v>
      </c>
      <c r="H84" s="179">
        <v>43549</v>
      </c>
      <c r="I84" s="38" t="s">
        <v>377</v>
      </c>
      <c r="J84" s="38" t="s">
        <v>375</v>
      </c>
      <c r="R84" s="20"/>
      <c r="T84" s="20"/>
      <c r="V84" s="20"/>
    </row>
    <row r="85" spans="1:22">
      <c r="A85" s="38">
        <v>4330</v>
      </c>
      <c r="B85" s="38" t="s">
        <v>99</v>
      </c>
      <c r="C85" s="179">
        <v>43477</v>
      </c>
      <c r="D85" s="38">
        <v>49</v>
      </c>
      <c r="E85" s="38" t="s">
        <v>100</v>
      </c>
      <c r="F85" s="22">
        <v>10311</v>
      </c>
      <c r="G85" s="38" t="s">
        <v>137</v>
      </c>
      <c r="H85" s="179">
        <v>43549</v>
      </c>
      <c r="I85" s="38" t="s">
        <v>377</v>
      </c>
      <c r="J85" s="38" t="s">
        <v>375</v>
      </c>
      <c r="R85" s="20"/>
      <c r="T85" s="20"/>
      <c r="V85" s="20"/>
    </row>
    <row r="86" spans="1:22">
      <c r="A86" s="38">
        <v>4330</v>
      </c>
      <c r="B86" s="38" t="s">
        <v>99</v>
      </c>
      <c r="C86" s="179">
        <v>43477</v>
      </c>
      <c r="D86" s="38">
        <v>178</v>
      </c>
      <c r="E86" s="38" t="s">
        <v>100</v>
      </c>
      <c r="F86" s="22">
        <v>12563</v>
      </c>
      <c r="G86" s="38" t="s">
        <v>137</v>
      </c>
      <c r="H86" s="179">
        <v>43723</v>
      </c>
      <c r="I86" s="38" t="s">
        <v>377</v>
      </c>
      <c r="J86" s="38" t="s">
        <v>375</v>
      </c>
      <c r="R86" s="20"/>
      <c r="T86" s="20"/>
      <c r="V86" s="20"/>
    </row>
    <row r="87" spans="1:22">
      <c r="A87" s="38">
        <v>4330</v>
      </c>
      <c r="B87" s="38" t="s">
        <v>99</v>
      </c>
      <c r="C87" s="179">
        <v>43477</v>
      </c>
      <c r="D87" s="38">
        <v>225</v>
      </c>
      <c r="E87" s="38" t="s">
        <v>101</v>
      </c>
      <c r="F87" s="22">
        <v>-12563</v>
      </c>
      <c r="G87" s="38" t="s">
        <v>137</v>
      </c>
      <c r="H87" s="179">
        <v>43723</v>
      </c>
      <c r="I87" s="38" t="s">
        <v>377</v>
      </c>
      <c r="J87" s="38" t="s">
        <v>375</v>
      </c>
      <c r="R87" s="20"/>
      <c r="T87" s="20"/>
      <c r="V87" s="20"/>
    </row>
    <row r="88" spans="1:22">
      <c r="A88" s="38">
        <v>1111</v>
      </c>
      <c r="B88" s="38" t="s">
        <v>96</v>
      </c>
      <c r="C88" s="179">
        <v>43477</v>
      </c>
      <c r="D88" s="38">
        <v>243</v>
      </c>
      <c r="E88" s="38" t="s">
        <v>55</v>
      </c>
      <c r="F88" s="22">
        <v>-283360</v>
      </c>
      <c r="G88" s="38" t="s">
        <v>129</v>
      </c>
      <c r="H88" s="179">
        <v>43477</v>
      </c>
      <c r="I88" s="38" t="s">
        <v>9</v>
      </c>
      <c r="J88" s="38" t="s">
        <v>375</v>
      </c>
      <c r="R88" s="20"/>
      <c r="T88" s="20"/>
      <c r="V88" s="20"/>
    </row>
    <row r="89" spans="1:22">
      <c r="A89" s="38">
        <v>9533</v>
      </c>
      <c r="B89" s="38" t="s">
        <v>98</v>
      </c>
      <c r="C89" s="179">
        <v>43474</v>
      </c>
      <c r="D89" s="38">
        <v>244</v>
      </c>
      <c r="E89" s="38" t="s">
        <v>97</v>
      </c>
      <c r="F89" s="22">
        <v>-16500</v>
      </c>
      <c r="G89" s="38" t="s">
        <v>129</v>
      </c>
      <c r="H89" s="179">
        <v>43480</v>
      </c>
      <c r="I89" s="38" t="s">
        <v>143</v>
      </c>
      <c r="J89" s="38" t="s">
        <v>376</v>
      </c>
      <c r="R89" s="20"/>
      <c r="T89" s="20"/>
      <c r="V89" s="20"/>
    </row>
    <row r="90" spans="1:22">
      <c r="A90" s="38">
        <v>7620</v>
      </c>
      <c r="B90" s="38" t="s">
        <v>72</v>
      </c>
      <c r="C90" s="179">
        <v>43474</v>
      </c>
      <c r="D90" s="38">
        <v>244</v>
      </c>
      <c r="E90" s="38" t="s">
        <v>97</v>
      </c>
      <c r="F90" s="22">
        <v>166500</v>
      </c>
      <c r="G90" s="38" t="s">
        <v>129</v>
      </c>
      <c r="H90" s="179">
        <v>43480</v>
      </c>
      <c r="I90" s="38" t="s">
        <v>139</v>
      </c>
      <c r="J90" s="38" t="s">
        <v>376</v>
      </c>
      <c r="R90" s="20"/>
      <c r="T90" s="20"/>
      <c r="V90" s="20"/>
    </row>
    <row r="91" spans="1:22">
      <c r="A91" s="38">
        <v>1111</v>
      </c>
      <c r="B91" s="38" t="s">
        <v>96</v>
      </c>
      <c r="C91" s="179">
        <v>43474</v>
      </c>
      <c r="D91" s="38">
        <v>244</v>
      </c>
      <c r="E91" s="38" t="s">
        <v>55</v>
      </c>
      <c r="F91" s="22">
        <v>-150000</v>
      </c>
      <c r="G91" s="38" t="s">
        <v>129</v>
      </c>
      <c r="H91" s="179">
        <v>43480</v>
      </c>
      <c r="I91" s="38" t="s">
        <v>9</v>
      </c>
      <c r="J91" s="38" t="s">
        <v>375</v>
      </c>
      <c r="R91" s="20"/>
      <c r="T91" s="20"/>
      <c r="V91" s="20"/>
    </row>
    <row r="92" spans="1:22">
      <c r="A92" s="38">
        <v>9320</v>
      </c>
      <c r="B92" s="38" t="s">
        <v>82</v>
      </c>
      <c r="C92" s="179">
        <v>43473</v>
      </c>
      <c r="D92" s="38">
        <v>44</v>
      </c>
      <c r="E92" s="38" t="s">
        <v>95</v>
      </c>
      <c r="F92" s="22">
        <v>443990</v>
      </c>
      <c r="G92" s="38" t="s">
        <v>137</v>
      </c>
      <c r="H92" s="179">
        <v>43549</v>
      </c>
      <c r="I92" s="38" t="s">
        <v>142</v>
      </c>
      <c r="J92" s="38" t="s">
        <v>376</v>
      </c>
      <c r="R92" s="20"/>
      <c r="T92" s="20"/>
      <c r="V92" s="20"/>
    </row>
    <row r="93" spans="1:22">
      <c r="A93" s="38">
        <v>7810</v>
      </c>
      <c r="B93" s="38" t="s">
        <v>76</v>
      </c>
      <c r="C93" s="179">
        <v>43473</v>
      </c>
      <c r="D93" s="38">
        <v>44</v>
      </c>
      <c r="E93" s="38" t="s">
        <v>95</v>
      </c>
      <c r="F93" s="22">
        <v>-443990</v>
      </c>
      <c r="G93" s="38" t="s">
        <v>137</v>
      </c>
      <c r="H93" s="179">
        <v>43549</v>
      </c>
      <c r="I93" s="38" t="s">
        <v>141</v>
      </c>
      <c r="J93" s="38" t="s">
        <v>376</v>
      </c>
      <c r="R93" s="20"/>
      <c r="T93" s="20"/>
      <c r="V93" s="20"/>
    </row>
    <row r="94" spans="1:22">
      <c r="A94" s="38">
        <v>9320</v>
      </c>
      <c r="B94" s="38" t="s">
        <v>82</v>
      </c>
      <c r="C94" s="179">
        <v>43472</v>
      </c>
      <c r="D94" s="38">
        <v>2</v>
      </c>
      <c r="E94" s="38" t="s">
        <v>94</v>
      </c>
      <c r="F94" s="22">
        <v>500000</v>
      </c>
      <c r="G94" s="38" t="s">
        <v>137</v>
      </c>
      <c r="H94" s="179">
        <v>43544</v>
      </c>
      <c r="I94" s="38" t="s">
        <v>142</v>
      </c>
      <c r="J94" s="38" t="s">
        <v>376</v>
      </c>
      <c r="R94" s="20"/>
      <c r="T94" s="20"/>
      <c r="V94" s="20"/>
    </row>
    <row r="95" spans="1:22">
      <c r="A95" s="38">
        <v>7810</v>
      </c>
      <c r="B95" s="38" t="s">
        <v>76</v>
      </c>
      <c r="C95" s="179">
        <v>43472</v>
      </c>
      <c r="D95" s="38">
        <v>1</v>
      </c>
      <c r="E95" s="38" t="s">
        <v>93</v>
      </c>
      <c r="F95" s="22">
        <v>-74000</v>
      </c>
      <c r="G95" s="38" t="s">
        <v>137</v>
      </c>
      <c r="H95" s="179">
        <v>43544</v>
      </c>
      <c r="I95" s="38" t="s">
        <v>141</v>
      </c>
      <c r="J95" s="38" t="s">
        <v>376</v>
      </c>
      <c r="R95" s="20"/>
      <c r="T95" s="20"/>
      <c r="V95" s="20"/>
    </row>
    <row r="96" spans="1:22">
      <c r="A96" s="38">
        <v>7810</v>
      </c>
      <c r="B96" s="38" t="s">
        <v>76</v>
      </c>
      <c r="C96" s="179">
        <v>43472</v>
      </c>
      <c r="D96" s="38">
        <v>2</v>
      </c>
      <c r="E96" s="38" t="s">
        <v>94</v>
      </c>
      <c r="F96" s="22">
        <v>-500000</v>
      </c>
      <c r="G96" s="38" t="s">
        <v>137</v>
      </c>
      <c r="H96" s="179">
        <v>43544</v>
      </c>
      <c r="I96" s="38" t="s">
        <v>141</v>
      </c>
      <c r="J96" s="38" t="s">
        <v>376</v>
      </c>
      <c r="R96" s="20"/>
      <c r="T96" s="20"/>
      <c r="V96" s="20"/>
    </row>
    <row r="97" spans="1:22">
      <c r="A97" s="38">
        <v>7620</v>
      </c>
      <c r="B97" s="38" t="s">
        <v>72</v>
      </c>
      <c r="C97" s="179">
        <v>43472</v>
      </c>
      <c r="D97" s="38">
        <v>1</v>
      </c>
      <c r="E97" s="38" t="s">
        <v>93</v>
      </c>
      <c r="F97" s="22">
        <v>74000</v>
      </c>
      <c r="G97" s="38" t="s">
        <v>137</v>
      </c>
      <c r="H97" s="179">
        <v>43544</v>
      </c>
      <c r="I97" s="38" t="s">
        <v>139</v>
      </c>
      <c r="J97" s="38" t="s">
        <v>376</v>
      </c>
      <c r="R97" s="20"/>
      <c r="T97" s="20"/>
      <c r="V97" s="20"/>
    </row>
    <row r="98" spans="1:22">
      <c r="A98" s="38">
        <v>7620</v>
      </c>
      <c r="B98" s="38" t="s">
        <v>72</v>
      </c>
      <c r="C98" s="179">
        <v>43472</v>
      </c>
      <c r="D98" s="38">
        <v>242</v>
      </c>
      <c r="E98" s="38" t="s">
        <v>92</v>
      </c>
      <c r="F98" s="22">
        <v>294046</v>
      </c>
      <c r="G98" s="38" t="s">
        <v>129</v>
      </c>
      <c r="H98" s="179">
        <v>43472</v>
      </c>
      <c r="I98" s="38" t="s">
        <v>139</v>
      </c>
      <c r="J98" s="38" t="s">
        <v>376</v>
      </c>
      <c r="R98" s="20"/>
      <c r="T98" s="20"/>
      <c r="V98" s="20"/>
    </row>
    <row r="99" spans="1:22">
      <c r="A99" s="38">
        <v>6120</v>
      </c>
      <c r="B99" s="38" t="s">
        <v>45</v>
      </c>
      <c r="C99" s="179">
        <v>43472</v>
      </c>
      <c r="D99" s="38">
        <v>242</v>
      </c>
      <c r="E99" s="38" t="s">
        <v>55</v>
      </c>
      <c r="F99" s="22">
        <v>1</v>
      </c>
      <c r="G99" s="38" t="s">
        <v>129</v>
      </c>
      <c r="H99" s="179">
        <v>43472</v>
      </c>
      <c r="I99" s="38" t="s">
        <v>378</v>
      </c>
      <c r="J99" s="38" t="s">
        <v>375</v>
      </c>
      <c r="R99" s="20"/>
      <c r="T99" s="20"/>
      <c r="V99" s="20"/>
    </row>
    <row r="100" spans="1:22">
      <c r="A100" s="38">
        <v>2137</v>
      </c>
      <c r="B100" s="38" t="s">
        <v>369</v>
      </c>
      <c r="C100" s="179">
        <v>43472</v>
      </c>
      <c r="D100" s="38">
        <v>242</v>
      </c>
      <c r="E100" s="38" t="s">
        <v>55</v>
      </c>
      <c r="F100" s="22">
        <v>294046</v>
      </c>
      <c r="G100" s="38" t="s">
        <v>129</v>
      </c>
      <c r="H100" s="179">
        <v>43472</v>
      </c>
      <c r="I100" s="38" t="s">
        <v>13</v>
      </c>
      <c r="J100" s="38" t="s">
        <v>375</v>
      </c>
      <c r="R100" s="20"/>
      <c r="T100" s="20"/>
      <c r="V100" s="20"/>
    </row>
    <row r="101" spans="1:22">
      <c r="A101" s="38">
        <v>2135</v>
      </c>
      <c r="B101" s="38" t="s">
        <v>370</v>
      </c>
      <c r="C101" s="179">
        <v>43472</v>
      </c>
      <c r="D101" s="38">
        <v>242</v>
      </c>
      <c r="E101" s="38" t="s">
        <v>55</v>
      </c>
      <c r="F101" s="22">
        <v>6925317</v>
      </c>
      <c r="G101" s="38" t="s">
        <v>129</v>
      </c>
      <c r="H101" s="179">
        <v>43472</v>
      </c>
      <c r="I101" s="38" t="s">
        <v>13</v>
      </c>
      <c r="J101" s="38" t="s">
        <v>375</v>
      </c>
      <c r="R101" s="20"/>
      <c r="T101" s="20"/>
      <c r="V101" s="20"/>
    </row>
    <row r="102" spans="1:22">
      <c r="A102" s="38">
        <v>1200</v>
      </c>
      <c r="B102" s="38" t="s">
        <v>138</v>
      </c>
      <c r="C102" s="179">
        <v>43472</v>
      </c>
      <c r="D102" s="38">
        <v>242</v>
      </c>
      <c r="E102" s="38" t="s">
        <v>55</v>
      </c>
      <c r="F102" s="22">
        <v>-7513410</v>
      </c>
      <c r="G102" s="38" t="s">
        <v>129</v>
      </c>
      <c r="H102" s="179">
        <v>43472</v>
      </c>
      <c r="I102" s="38" t="s">
        <v>9</v>
      </c>
      <c r="J102" s="38" t="s">
        <v>375</v>
      </c>
      <c r="R102" s="20"/>
      <c r="T102" s="20"/>
      <c r="V102" s="20"/>
    </row>
    <row r="103" spans="1:22">
      <c r="A103" s="38">
        <v>9325</v>
      </c>
      <c r="B103" s="38" t="s">
        <v>83</v>
      </c>
      <c r="C103" s="179">
        <v>43471</v>
      </c>
      <c r="D103" s="38">
        <v>46</v>
      </c>
      <c r="E103" s="38" t="s">
        <v>89</v>
      </c>
      <c r="F103" s="22">
        <v>153117</v>
      </c>
      <c r="G103" s="38" t="s">
        <v>137</v>
      </c>
      <c r="H103" s="179">
        <v>43549</v>
      </c>
      <c r="I103" s="38" t="s">
        <v>143</v>
      </c>
      <c r="J103" s="38" t="s">
        <v>376</v>
      </c>
      <c r="R103" s="20"/>
      <c r="T103" s="20"/>
      <c r="V103" s="20"/>
    </row>
    <row r="104" spans="1:22">
      <c r="A104" s="38">
        <v>9325</v>
      </c>
      <c r="B104" s="38" t="s">
        <v>83</v>
      </c>
      <c r="C104" s="179">
        <v>43471</v>
      </c>
      <c r="D104" s="38">
        <v>204</v>
      </c>
      <c r="E104" s="38" t="s">
        <v>90</v>
      </c>
      <c r="F104" s="22">
        <v>153117</v>
      </c>
      <c r="G104" s="38" t="s">
        <v>137</v>
      </c>
      <c r="H104" s="179">
        <v>43723</v>
      </c>
      <c r="I104" s="38" t="s">
        <v>143</v>
      </c>
      <c r="J104" s="38" t="s">
        <v>376</v>
      </c>
      <c r="R104" s="20"/>
      <c r="T104" s="20"/>
      <c r="V104" s="20"/>
    </row>
    <row r="105" spans="1:22">
      <c r="A105" s="38">
        <v>9325</v>
      </c>
      <c r="B105" s="38" t="s">
        <v>83</v>
      </c>
      <c r="C105" s="179">
        <v>43471</v>
      </c>
      <c r="D105" s="38">
        <v>224</v>
      </c>
      <c r="E105" s="38" t="s">
        <v>91</v>
      </c>
      <c r="F105" s="22">
        <v>-153117</v>
      </c>
      <c r="G105" s="38" t="s">
        <v>137</v>
      </c>
      <c r="H105" s="179">
        <v>43723</v>
      </c>
      <c r="I105" s="38" t="s">
        <v>143</v>
      </c>
      <c r="J105" s="38" t="s">
        <v>376</v>
      </c>
      <c r="R105" s="20"/>
      <c r="T105" s="20"/>
      <c r="V105" s="20"/>
    </row>
    <row r="106" spans="1:22">
      <c r="A106" s="38">
        <v>7810</v>
      </c>
      <c r="B106" s="38" t="s">
        <v>76</v>
      </c>
      <c r="C106" s="179">
        <v>43471</v>
      </c>
      <c r="D106" s="38">
        <v>4</v>
      </c>
      <c r="E106" s="38" t="s">
        <v>133</v>
      </c>
      <c r="F106" s="22">
        <v>1000000</v>
      </c>
      <c r="G106" s="38" t="s">
        <v>137</v>
      </c>
      <c r="H106" s="179">
        <v>43544</v>
      </c>
      <c r="I106" s="38" t="s">
        <v>141</v>
      </c>
      <c r="J106" s="38" t="s">
        <v>376</v>
      </c>
      <c r="R106" s="20"/>
      <c r="T106" s="20"/>
      <c r="V106" s="20"/>
    </row>
    <row r="107" spans="1:22">
      <c r="A107" s="38">
        <v>7810</v>
      </c>
      <c r="B107" s="38" t="s">
        <v>76</v>
      </c>
      <c r="C107" s="179">
        <v>43471</v>
      </c>
      <c r="D107" s="38">
        <v>46</v>
      </c>
      <c r="E107" s="38" t="s">
        <v>89</v>
      </c>
      <c r="F107" s="22">
        <v>-153117</v>
      </c>
      <c r="G107" s="38" t="s">
        <v>137</v>
      </c>
      <c r="H107" s="179">
        <v>43549</v>
      </c>
      <c r="I107" s="38" t="s">
        <v>141</v>
      </c>
      <c r="J107" s="38" t="s">
        <v>376</v>
      </c>
      <c r="R107" s="20"/>
      <c r="T107" s="20"/>
      <c r="V107" s="20"/>
    </row>
    <row r="108" spans="1:22">
      <c r="A108" s="38">
        <v>7810</v>
      </c>
      <c r="B108" s="38" t="s">
        <v>76</v>
      </c>
      <c r="C108" s="179">
        <v>43471</v>
      </c>
      <c r="D108" s="38">
        <v>47</v>
      </c>
      <c r="E108" s="38" t="s">
        <v>88</v>
      </c>
      <c r="F108" s="22">
        <v>-559</v>
      </c>
      <c r="G108" s="38" t="s">
        <v>137</v>
      </c>
      <c r="H108" s="179">
        <v>43549</v>
      </c>
      <c r="I108" s="38" t="s">
        <v>141</v>
      </c>
      <c r="J108" s="38" t="s">
        <v>376</v>
      </c>
      <c r="R108" s="20"/>
      <c r="T108" s="20"/>
      <c r="V108" s="20"/>
    </row>
    <row r="109" spans="1:22">
      <c r="A109" s="38">
        <v>7810</v>
      </c>
      <c r="B109" s="38" t="s">
        <v>76</v>
      </c>
      <c r="C109" s="179">
        <v>43471</v>
      </c>
      <c r="D109" s="38">
        <v>204</v>
      </c>
      <c r="E109" s="38" t="s">
        <v>90</v>
      </c>
      <c r="F109" s="22">
        <v>-153117</v>
      </c>
      <c r="G109" s="38" t="s">
        <v>137</v>
      </c>
      <c r="H109" s="179">
        <v>43723</v>
      </c>
      <c r="I109" s="38" t="s">
        <v>141</v>
      </c>
      <c r="J109" s="38" t="s">
        <v>376</v>
      </c>
      <c r="R109" s="20"/>
      <c r="T109" s="20"/>
      <c r="V109" s="20"/>
    </row>
    <row r="110" spans="1:22">
      <c r="A110" s="38">
        <v>7810</v>
      </c>
      <c r="B110" s="38" t="s">
        <v>76</v>
      </c>
      <c r="C110" s="179">
        <v>43471</v>
      </c>
      <c r="D110" s="38">
        <v>224</v>
      </c>
      <c r="E110" s="38" t="s">
        <v>91</v>
      </c>
      <c r="F110" s="22">
        <v>153117</v>
      </c>
      <c r="G110" s="38" t="s">
        <v>137</v>
      </c>
      <c r="H110" s="179">
        <v>43723</v>
      </c>
      <c r="I110" s="38" t="s">
        <v>141</v>
      </c>
      <c r="J110" s="38" t="s">
        <v>376</v>
      </c>
      <c r="R110" s="20"/>
      <c r="T110" s="20"/>
      <c r="V110" s="20"/>
    </row>
    <row r="111" spans="1:22">
      <c r="A111" s="38">
        <v>7620</v>
      </c>
      <c r="B111" s="38" t="s">
        <v>72</v>
      </c>
      <c r="C111" s="179">
        <v>43471</v>
      </c>
      <c r="D111" s="38">
        <v>4</v>
      </c>
      <c r="E111" s="38" t="s">
        <v>133</v>
      </c>
      <c r="F111" s="22">
        <v>-1000000</v>
      </c>
      <c r="G111" s="38" t="s">
        <v>137</v>
      </c>
      <c r="H111" s="179">
        <v>43544</v>
      </c>
      <c r="I111" s="38" t="s">
        <v>139</v>
      </c>
      <c r="J111" s="38" t="s">
        <v>376</v>
      </c>
      <c r="R111" s="20"/>
      <c r="T111" s="20"/>
      <c r="V111" s="20"/>
    </row>
    <row r="112" spans="1:22">
      <c r="A112" s="38">
        <v>4650</v>
      </c>
      <c r="B112" s="38" t="s">
        <v>87</v>
      </c>
      <c r="C112" s="179">
        <v>43471</v>
      </c>
      <c r="D112" s="38">
        <v>47</v>
      </c>
      <c r="E112" s="38" t="s">
        <v>88</v>
      </c>
      <c r="F112" s="22">
        <v>559</v>
      </c>
      <c r="G112" s="38" t="s">
        <v>137</v>
      </c>
      <c r="H112" s="179">
        <v>43549</v>
      </c>
      <c r="I112" s="38" t="s">
        <v>377</v>
      </c>
      <c r="J112" s="38" t="s">
        <v>375</v>
      </c>
      <c r="R112" s="20"/>
      <c r="T112" s="20"/>
      <c r="V112" s="20"/>
    </row>
    <row r="113" spans="1:22">
      <c r="A113" s="38">
        <v>7810</v>
      </c>
      <c r="B113" s="38" t="s">
        <v>76</v>
      </c>
      <c r="C113" s="179">
        <v>43470</v>
      </c>
      <c r="D113" s="38">
        <v>3</v>
      </c>
      <c r="E113" s="38" t="s">
        <v>132</v>
      </c>
      <c r="F113" s="22">
        <v>200000</v>
      </c>
      <c r="G113" s="38" t="s">
        <v>137</v>
      </c>
      <c r="H113" s="179">
        <v>43544</v>
      </c>
      <c r="I113" s="38" t="s">
        <v>141</v>
      </c>
      <c r="J113" s="38" t="s">
        <v>376</v>
      </c>
      <c r="R113" s="20"/>
      <c r="T113" s="20"/>
      <c r="V113" s="20"/>
    </row>
    <row r="114" spans="1:22">
      <c r="A114" s="38">
        <v>7620</v>
      </c>
      <c r="B114" s="38" t="s">
        <v>72</v>
      </c>
      <c r="C114" s="179">
        <v>43470</v>
      </c>
      <c r="D114" s="38">
        <v>3</v>
      </c>
      <c r="E114" s="38" t="s">
        <v>132</v>
      </c>
      <c r="F114" s="22">
        <v>-200000</v>
      </c>
      <c r="G114" s="38" t="s">
        <v>137</v>
      </c>
      <c r="H114" s="179">
        <v>43544</v>
      </c>
      <c r="I114" s="38" t="s">
        <v>139</v>
      </c>
      <c r="J114" s="38" t="s">
        <v>376</v>
      </c>
      <c r="R114" s="20"/>
      <c r="T114" s="20"/>
      <c r="V114" s="20"/>
    </row>
    <row r="115" spans="1:22">
      <c r="A115" s="38">
        <v>9610</v>
      </c>
      <c r="B115" s="38" t="s">
        <v>86</v>
      </c>
      <c r="C115" s="179">
        <v>43466</v>
      </c>
      <c r="D115" s="38">
        <v>241</v>
      </c>
      <c r="E115" s="38" t="s">
        <v>70</v>
      </c>
      <c r="F115" s="22">
        <v>-490982</v>
      </c>
      <c r="G115" s="38" t="s">
        <v>130</v>
      </c>
      <c r="H115" s="179">
        <v>43723</v>
      </c>
      <c r="I115" s="38" t="s">
        <v>143</v>
      </c>
      <c r="J115" s="38" t="s">
        <v>376</v>
      </c>
      <c r="R115" s="20"/>
      <c r="T115" s="20"/>
      <c r="V115" s="20"/>
    </row>
    <row r="116" spans="1:22">
      <c r="A116" s="38">
        <v>9535</v>
      </c>
      <c r="B116" s="38" t="s">
        <v>85</v>
      </c>
      <c r="C116" s="179">
        <v>43466</v>
      </c>
      <c r="D116" s="38">
        <v>241</v>
      </c>
      <c r="E116" s="38" t="s">
        <v>70</v>
      </c>
      <c r="F116" s="22">
        <v>388750</v>
      </c>
      <c r="G116" s="38" t="s">
        <v>130</v>
      </c>
      <c r="H116" s="179">
        <v>43723</v>
      </c>
      <c r="I116" s="38" t="s">
        <v>143</v>
      </c>
      <c r="J116" s="38" t="s">
        <v>376</v>
      </c>
      <c r="R116" s="20"/>
      <c r="T116" s="20"/>
      <c r="V116" s="20"/>
    </row>
    <row r="117" spans="1:22">
      <c r="A117" s="38">
        <v>9511</v>
      </c>
      <c r="B117" s="38" t="s">
        <v>84</v>
      </c>
      <c r="C117" s="179">
        <v>43466</v>
      </c>
      <c r="D117" s="38">
        <v>7</v>
      </c>
      <c r="E117" s="38" t="s">
        <v>64</v>
      </c>
      <c r="F117" s="22">
        <v>5180</v>
      </c>
      <c r="G117" s="38" t="s">
        <v>137</v>
      </c>
      <c r="H117" s="179">
        <v>43544</v>
      </c>
      <c r="I117" s="38" t="s">
        <v>143</v>
      </c>
      <c r="J117" s="38" t="s">
        <v>376</v>
      </c>
      <c r="R117" s="20"/>
      <c r="T117" s="20"/>
      <c r="V117" s="20"/>
    </row>
    <row r="118" spans="1:22">
      <c r="A118" s="38">
        <v>9511</v>
      </c>
      <c r="B118" s="38" t="s">
        <v>84</v>
      </c>
      <c r="C118" s="179">
        <v>43466</v>
      </c>
      <c r="D118" s="38">
        <v>11</v>
      </c>
      <c r="E118" s="38" t="s">
        <v>68</v>
      </c>
      <c r="F118" s="22">
        <v>2278</v>
      </c>
      <c r="G118" s="38" t="s">
        <v>137</v>
      </c>
      <c r="H118" s="179">
        <v>43549</v>
      </c>
      <c r="I118" s="38" t="s">
        <v>143</v>
      </c>
      <c r="J118" s="38" t="s">
        <v>376</v>
      </c>
      <c r="R118" s="20"/>
      <c r="T118" s="20"/>
      <c r="V118" s="20"/>
    </row>
    <row r="119" spans="1:22">
      <c r="A119" s="38">
        <v>9511</v>
      </c>
      <c r="B119" s="38" t="s">
        <v>84</v>
      </c>
      <c r="C119" s="179">
        <v>43466</v>
      </c>
      <c r="D119" s="38">
        <v>87</v>
      </c>
      <c r="E119" s="38" t="s">
        <v>66</v>
      </c>
      <c r="F119" s="22">
        <v>1537</v>
      </c>
      <c r="G119" s="38" t="s">
        <v>137</v>
      </c>
      <c r="H119" s="179">
        <v>43723</v>
      </c>
      <c r="I119" s="38" t="s">
        <v>143</v>
      </c>
      <c r="J119" s="38" t="s">
        <v>376</v>
      </c>
      <c r="R119" s="20"/>
      <c r="T119" s="20"/>
      <c r="V119" s="20"/>
    </row>
    <row r="120" spans="1:22">
      <c r="A120" s="38">
        <v>9325</v>
      </c>
      <c r="B120" s="38" t="s">
        <v>83</v>
      </c>
      <c r="C120" s="179">
        <v>43466</v>
      </c>
      <c r="D120" s="38">
        <v>87</v>
      </c>
      <c r="E120" s="38" t="s">
        <v>66</v>
      </c>
      <c r="F120" s="22">
        <v>-7940</v>
      </c>
      <c r="G120" s="38" t="s">
        <v>137</v>
      </c>
      <c r="H120" s="179">
        <v>43723</v>
      </c>
      <c r="I120" s="38" t="s">
        <v>143</v>
      </c>
      <c r="J120" s="38" t="s">
        <v>376</v>
      </c>
      <c r="R120" s="20"/>
      <c r="T120" s="20"/>
      <c r="V120" s="20"/>
    </row>
    <row r="121" spans="1:22">
      <c r="A121" s="38">
        <v>9325</v>
      </c>
      <c r="B121" s="38" t="s">
        <v>83</v>
      </c>
      <c r="C121" s="179">
        <v>43466</v>
      </c>
      <c r="D121" s="38">
        <v>241</v>
      </c>
      <c r="E121" s="38" t="s">
        <v>70</v>
      </c>
      <c r="F121" s="22">
        <v>-287216</v>
      </c>
      <c r="G121" s="38" t="s">
        <v>130</v>
      </c>
      <c r="H121" s="179">
        <v>43723</v>
      </c>
      <c r="I121" s="38" t="s">
        <v>143</v>
      </c>
      <c r="J121" s="38" t="s">
        <v>376</v>
      </c>
      <c r="R121" s="20"/>
      <c r="T121" s="20"/>
      <c r="V121" s="20"/>
    </row>
    <row r="122" spans="1:22">
      <c r="A122" s="38">
        <v>9320</v>
      </c>
      <c r="B122" s="38" t="s">
        <v>82</v>
      </c>
      <c r="C122" s="179">
        <v>43466</v>
      </c>
      <c r="D122" s="38">
        <v>7</v>
      </c>
      <c r="E122" s="38" t="s">
        <v>64</v>
      </c>
      <c r="F122" s="22">
        <v>-26764</v>
      </c>
      <c r="G122" s="38" t="s">
        <v>137</v>
      </c>
      <c r="H122" s="179">
        <v>43544</v>
      </c>
      <c r="I122" s="38" t="s">
        <v>142</v>
      </c>
      <c r="J122" s="38" t="s">
        <v>376</v>
      </c>
      <c r="R122" s="20"/>
      <c r="T122" s="20"/>
      <c r="V122" s="20"/>
    </row>
    <row r="123" spans="1:22">
      <c r="A123" s="38">
        <v>9320</v>
      </c>
      <c r="B123" s="38" t="s">
        <v>82</v>
      </c>
      <c r="C123" s="179">
        <v>43466</v>
      </c>
      <c r="D123" s="38">
        <v>11</v>
      </c>
      <c r="E123" s="38" t="s">
        <v>68</v>
      </c>
      <c r="F123" s="22">
        <v>-11770</v>
      </c>
      <c r="G123" s="38" t="s">
        <v>137</v>
      </c>
      <c r="H123" s="179">
        <v>43549</v>
      </c>
      <c r="I123" s="38" t="s">
        <v>142</v>
      </c>
      <c r="J123" s="38" t="s">
        <v>376</v>
      </c>
      <c r="R123" s="20"/>
      <c r="T123" s="20"/>
      <c r="V123" s="20"/>
    </row>
    <row r="124" spans="1:22">
      <c r="A124" s="38">
        <v>9320</v>
      </c>
      <c r="B124" s="38" t="s">
        <v>82</v>
      </c>
      <c r="C124" s="179">
        <v>43466</v>
      </c>
      <c r="D124" s="38">
        <v>12</v>
      </c>
      <c r="E124" s="38" t="s">
        <v>136</v>
      </c>
      <c r="F124" s="22">
        <v>14567</v>
      </c>
      <c r="G124" s="38" t="s">
        <v>137</v>
      </c>
      <c r="H124" s="179">
        <v>43549</v>
      </c>
      <c r="I124" s="38" t="s">
        <v>142</v>
      </c>
      <c r="J124" s="38" t="s">
        <v>376</v>
      </c>
      <c r="R124" s="20"/>
      <c r="T124" s="20"/>
      <c r="V124" s="20"/>
    </row>
    <row r="125" spans="1:22">
      <c r="A125" s="38">
        <v>9320</v>
      </c>
      <c r="B125" s="38" t="s">
        <v>82</v>
      </c>
      <c r="C125" s="179">
        <v>43466</v>
      </c>
      <c r="D125" s="38">
        <v>241</v>
      </c>
      <c r="E125" s="38" t="s">
        <v>70</v>
      </c>
      <c r="F125" s="22">
        <v>810084</v>
      </c>
      <c r="G125" s="38" t="s">
        <v>130</v>
      </c>
      <c r="H125" s="179">
        <v>43723</v>
      </c>
      <c r="I125" s="38" t="s">
        <v>142</v>
      </c>
      <c r="J125" s="38" t="s">
        <v>376</v>
      </c>
      <c r="R125" s="20"/>
      <c r="T125" s="20"/>
      <c r="V125" s="20"/>
    </row>
    <row r="126" spans="1:22">
      <c r="A126" s="38">
        <v>8730</v>
      </c>
      <c r="B126" s="38" t="s">
        <v>81</v>
      </c>
      <c r="C126" s="179">
        <v>43466</v>
      </c>
      <c r="D126" s="38">
        <v>241</v>
      </c>
      <c r="E126" s="38" t="s">
        <v>70</v>
      </c>
      <c r="F126" s="22">
        <v>-3027245</v>
      </c>
      <c r="G126" s="38" t="s">
        <v>130</v>
      </c>
      <c r="H126" s="179">
        <v>43723</v>
      </c>
      <c r="I126" s="38" t="s">
        <v>155</v>
      </c>
      <c r="J126" s="38" t="s">
        <v>376</v>
      </c>
      <c r="R126" s="20"/>
      <c r="T126" s="20"/>
      <c r="V126" s="20"/>
    </row>
    <row r="127" spans="1:22">
      <c r="A127" s="38">
        <v>8710</v>
      </c>
      <c r="B127" s="38" t="s">
        <v>80</v>
      </c>
      <c r="C127" s="179">
        <v>43466</v>
      </c>
      <c r="D127" s="38">
        <v>241</v>
      </c>
      <c r="E127" s="38" t="s">
        <v>70</v>
      </c>
      <c r="F127" s="22">
        <v>-1617004</v>
      </c>
      <c r="G127" s="38" t="s">
        <v>130</v>
      </c>
      <c r="H127" s="179">
        <v>43723</v>
      </c>
      <c r="I127" s="38" t="s">
        <v>155</v>
      </c>
      <c r="J127" s="38" t="s">
        <v>376</v>
      </c>
      <c r="R127" s="20"/>
      <c r="T127" s="20"/>
      <c r="V127" s="20"/>
    </row>
    <row r="128" spans="1:22">
      <c r="A128" s="38">
        <v>8400</v>
      </c>
      <c r="B128" s="38" t="s">
        <v>79</v>
      </c>
      <c r="C128" s="179">
        <v>43466</v>
      </c>
      <c r="D128" s="38">
        <v>241</v>
      </c>
      <c r="E128" s="38" t="s">
        <v>70</v>
      </c>
      <c r="F128" s="22">
        <v>-14724182</v>
      </c>
      <c r="G128" s="38" t="s">
        <v>130</v>
      </c>
      <c r="H128" s="179">
        <v>43723</v>
      </c>
      <c r="I128" s="38" t="s">
        <v>0</v>
      </c>
      <c r="J128" s="38" t="s">
        <v>376</v>
      </c>
      <c r="R128" s="20"/>
      <c r="T128" s="20"/>
      <c r="V128" s="20"/>
    </row>
    <row r="129" spans="1:22">
      <c r="A129" s="38">
        <v>8400</v>
      </c>
      <c r="B129" s="38" t="s">
        <v>79</v>
      </c>
      <c r="C129" s="179">
        <v>43466</v>
      </c>
      <c r="D129" s="38">
        <v>241</v>
      </c>
      <c r="E129" s="38" t="s">
        <v>70</v>
      </c>
      <c r="F129" s="22">
        <v>1323725</v>
      </c>
      <c r="G129" s="38" t="s">
        <v>130</v>
      </c>
      <c r="H129" s="179">
        <v>43723</v>
      </c>
      <c r="I129" s="38" t="s">
        <v>0</v>
      </c>
      <c r="J129" s="38" t="s">
        <v>376</v>
      </c>
      <c r="R129" s="20"/>
      <c r="T129" s="20"/>
      <c r="V129" s="20"/>
    </row>
    <row r="130" spans="1:22">
      <c r="A130" s="38">
        <v>8160</v>
      </c>
      <c r="B130" s="38" t="s">
        <v>50</v>
      </c>
      <c r="C130" s="179">
        <v>43466</v>
      </c>
      <c r="D130" s="38">
        <v>241</v>
      </c>
      <c r="E130" s="38" t="s">
        <v>70</v>
      </c>
      <c r="F130" s="22">
        <v>-125000</v>
      </c>
      <c r="G130" s="38" t="s">
        <v>130</v>
      </c>
      <c r="H130" s="179">
        <v>43723</v>
      </c>
      <c r="I130" s="38" t="s">
        <v>0</v>
      </c>
      <c r="J130" s="38" t="s">
        <v>376</v>
      </c>
      <c r="R130" s="20"/>
      <c r="T130" s="20"/>
      <c r="V130" s="20"/>
    </row>
    <row r="131" spans="1:22">
      <c r="A131" s="38">
        <v>8100</v>
      </c>
      <c r="B131" s="38" t="s">
        <v>49</v>
      </c>
      <c r="C131" s="179">
        <v>43466</v>
      </c>
      <c r="D131" s="38">
        <v>241</v>
      </c>
      <c r="E131" s="38" t="s">
        <v>70</v>
      </c>
      <c r="F131" s="22">
        <v>-500000</v>
      </c>
      <c r="G131" s="38" t="s">
        <v>130</v>
      </c>
      <c r="H131" s="179">
        <v>43723</v>
      </c>
      <c r="I131" s="38" t="s">
        <v>0</v>
      </c>
      <c r="J131" s="38" t="s">
        <v>376</v>
      </c>
      <c r="R131" s="20"/>
      <c r="T131" s="20"/>
      <c r="V131" s="20"/>
    </row>
    <row r="132" spans="1:22">
      <c r="A132" s="38">
        <v>7840</v>
      </c>
      <c r="B132" s="38" t="s">
        <v>78</v>
      </c>
      <c r="C132" s="179">
        <v>43466</v>
      </c>
      <c r="D132" s="38">
        <v>241</v>
      </c>
      <c r="E132" s="38" t="s">
        <v>70</v>
      </c>
      <c r="F132" s="22">
        <v>-321581</v>
      </c>
      <c r="G132" s="38" t="s">
        <v>130</v>
      </c>
      <c r="H132" s="179">
        <v>43723</v>
      </c>
      <c r="I132" s="38" t="s">
        <v>141</v>
      </c>
      <c r="J132" s="38" t="s">
        <v>376</v>
      </c>
      <c r="R132" s="20"/>
      <c r="T132" s="20"/>
      <c r="V132" s="20"/>
    </row>
    <row r="133" spans="1:22">
      <c r="A133" s="38">
        <v>7840</v>
      </c>
      <c r="B133" s="38" t="s">
        <v>78</v>
      </c>
      <c r="C133" s="179">
        <v>43466</v>
      </c>
      <c r="D133" s="38">
        <v>241</v>
      </c>
      <c r="E133" s="38" t="s">
        <v>70</v>
      </c>
      <c r="F133" s="22">
        <v>323138</v>
      </c>
      <c r="G133" s="38" t="s">
        <v>130</v>
      </c>
      <c r="H133" s="179">
        <v>43723</v>
      </c>
      <c r="I133" s="38" t="s">
        <v>141</v>
      </c>
      <c r="J133" s="38" t="s">
        <v>376</v>
      </c>
      <c r="R133" s="20"/>
      <c r="T133" s="20"/>
      <c r="V133" s="20"/>
    </row>
    <row r="134" spans="1:22">
      <c r="A134" s="38">
        <v>7820</v>
      </c>
      <c r="B134" s="38" t="s">
        <v>77</v>
      </c>
      <c r="C134" s="179">
        <v>43466</v>
      </c>
      <c r="D134" s="38">
        <v>241</v>
      </c>
      <c r="E134" s="38" t="s">
        <v>70</v>
      </c>
      <c r="F134" s="22">
        <v>70361</v>
      </c>
      <c r="G134" s="38" t="s">
        <v>130</v>
      </c>
      <c r="H134" s="179">
        <v>43723</v>
      </c>
      <c r="I134" s="38" t="s">
        <v>141</v>
      </c>
      <c r="J134" s="38" t="s">
        <v>376</v>
      </c>
      <c r="R134" s="20"/>
      <c r="T134" s="20"/>
      <c r="V134" s="20"/>
    </row>
    <row r="135" spans="1:22">
      <c r="A135" s="38">
        <v>7820</v>
      </c>
      <c r="B135" s="38" t="s">
        <v>77</v>
      </c>
      <c r="C135" s="179">
        <v>43466</v>
      </c>
      <c r="D135" s="38">
        <v>241</v>
      </c>
      <c r="E135" s="38" t="s">
        <v>70</v>
      </c>
      <c r="F135" s="22">
        <v>-70241</v>
      </c>
      <c r="G135" s="38" t="s">
        <v>130</v>
      </c>
      <c r="H135" s="179">
        <v>43723</v>
      </c>
      <c r="I135" s="38" t="s">
        <v>141</v>
      </c>
      <c r="J135" s="38" t="s">
        <v>376</v>
      </c>
      <c r="R135" s="20"/>
      <c r="T135" s="20"/>
      <c r="V135" s="20"/>
    </row>
    <row r="136" spans="1:22">
      <c r="A136" s="38">
        <v>7810</v>
      </c>
      <c r="B136" s="38" t="s">
        <v>76</v>
      </c>
      <c r="C136" s="179">
        <v>43466</v>
      </c>
      <c r="D136" s="38">
        <v>241</v>
      </c>
      <c r="E136" s="38" t="s">
        <v>70</v>
      </c>
      <c r="F136" s="22">
        <v>77198</v>
      </c>
      <c r="G136" s="38" t="s">
        <v>130</v>
      </c>
      <c r="H136" s="179">
        <v>43723</v>
      </c>
      <c r="I136" s="38" t="s">
        <v>141</v>
      </c>
      <c r="J136" s="38" t="s">
        <v>376</v>
      </c>
      <c r="R136" s="20"/>
      <c r="T136" s="20"/>
      <c r="V136" s="20"/>
    </row>
    <row r="137" spans="1:22">
      <c r="A137" s="38">
        <v>7658</v>
      </c>
      <c r="B137" s="38" t="s">
        <v>75</v>
      </c>
      <c r="C137" s="179">
        <v>43466</v>
      </c>
      <c r="D137" s="38">
        <v>241</v>
      </c>
      <c r="E137" s="38" t="s">
        <v>70</v>
      </c>
      <c r="F137" s="22">
        <v>1000</v>
      </c>
      <c r="G137" s="38" t="s">
        <v>130</v>
      </c>
      <c r="H137" s="179">
        <v>43723</v>
      </c>
      <c r="I137" s="38" t="s">
        <v>140</v>
      </c>
      <c r="J137" s="38" t="s">
        <v>376</v>
      </c>
      <c r="R137" s="20"/>
      <c r="T137" s="20"/>
      <c r="V137" s="20"/>
    </row>
    <row r="138" spans="1:22">
      <c r="A138" s="38">
        <v>7630</v>
      </c>
      <c r="B138" s="38" t="s">
        <v>74</v>
      </c>
      <c r="C138" s="179">
        <v>43466</v>
      </c>
      <c r="D138" s="38">
        <v>241</v>
      </c>
      <c r="E138" s="38" t="s">
        <v>70</v>
      </c>
      <c r="F138" s="22">
        <v>-412955</v>
      </c>
      <c r="G138" s="38" t="s">
        <v>130</v>
      </c>
      <c r="H138" s="179">
        <v>43723</v>
      </c>
      <c r="I138" s="38" t="s">
        <v>139</v>
      </c>
      <c r="J138" s="38" t="s">
        <v>376</v>
      </c>
      <c r="R138" s="20"/>
      <c r="T138" s="20"/>
      <c r="V138" s="20"/>
    </row>
    <row r="139" spans="1:22">
      <c r="A139" s="38">
        <v>7622</v>
      </c>
      <c r="B139" s="38" t="s">
        <v>73</v>
      </c>
      <c r="C139" s="179">
        <v>43466</v>
      </c>
      <c r="D139" s="38">
        <v>241</v>
      </c>
      <c r="E139" s="38" t="s">
        <v>70</v>
      </c>
      <c r="F139" s="22">
        <v>-803</v>
      </c>
      <c r="G139" s="38" t="s">
        <v>130</v>
      </c>
      <c r="H139" s="179">
        <v>43723</v>
      </c>
      <c r="I139" s="38" t="s">
        <v>139</v>
      </c>
      <c r="J139" s="38" t="s">
        <v>376</v>
      </c>
      <c r="R139" s="20"/>
      <c r="T139" s="20"/>
      <c r="V139" s="20"/>
    </row>
    <row r="140" spans="1:22">
      <c r="A140" s="38">
        <v>7620</v>
      </c>
      <c r="B140" s="38" t="s">
        <v>72</v>
      </c>
      <c r="C140" s="179">
        <v>43466</v>
      </c>
      <c r="D140" s="38">
        <v>241</v>
      </c>
      <c r="E140" s="38" t="s">
        <v>70</v>
      </c>
      <c r="F140" s="22">
        <v>24353819</v>
      </c>
      <c r="G140" s="38" t="s">
        <v>130</v>
      </c>
      <c r="H140" s="179">
        <v>43723</v>
      </c>
      <c r="I140" s="38" t="s">
        <v>139</v>
      </c>
      <c r="J140" s="38" t="s">
        <v>376</v>
      </c>
      <c r="R140" s="20"/>
      <c r="T140" s="20"/>
      <c r="V140" s="20"/>
    </row>
    <row r="141" spans="1:22">
      <c r="A141" s="38">
        <v>7620</v>
      </c>
      <c r="B141" s="38" t="s">
        <v>72</v>
      </c>
      <c r="C141" s="179">
        <v>43466</v>
      </c>
      <c r="D141" s="38">
        <v>241</v>
      </c>
      <c r="E141" s="38" t="s">
        <v>70</v>
      </c>
      <c r="F141" s="22">
        <v>-1826170</v>
      </c>
      <c r="G141" s="38" t="s">
        <v>130</v>
      </c>
      <c r="H141" s="179">
        <v>43723</v>
      </c>
      <c r="I141" s="38" t="s">
        <v>139</v>
      </c>
      <c r="J141" s="38" t="s">
        <v>376</v>
      </c>
      <c r="R141" s="20"/>
      <c r="T141" s="20"/>
      <c r="V141" s="20"/>
    </row>
    <row r="142" spans="1:22">
      <c r="A142" s="38">
        <v>7620</v>
      </c>
      <c r="B142" s="38" t="s">
        <v>72</v>
      </c>
      <c r="C142" s="179">
        <v>43466</v>
      </c>
      <c r="D142" s="38">
        <v>241</v>
      </c>
      <c r="E142" s="38" t="s">
        <v>70</v>
      </c>
      <c r="F142" s="22">
        <v>-22614296</v>
      </c>
      <c r="G142" s="38" t="s">
        <v>130</v>
      </c>
      <c r="H142" s="179">
        <v>43723</v>
      </c>
      <c r="I142" s="38" t="s">
        <v>139</v>
      </c>
      <c r="J142" s="38" t="s">
        <v>376</v>
      </c>
      <c r="R142" s="20"/>
      <c r="T142" s="20"/>
      <c r="V142" s="20"/>
    </row>
    <row r="143" spans="1:22">
      <c r="A143" s="38">
        <v>7520</v>
      </c>
      <c r="B143" s="38" t="s">
        <v>47</v>
      </c>
      <c r="C143" s="179">
        <v>43466</v>
      </c>
      <c r="D143" s="38">
        <v>240</v>
      </c>
      <c r="E143" s="38" t="s">
        <v>61</v>
      </c>
      <c r="F143" s="22">
        <v>-1200000</v>
      </c>
      <c r="G143" s="38" t="s">
        <v>137</v>
      </c>
      <c r="H143" s="179">
        <v>43723</v>
      </c>
      <c r="I143" s="38" t="s">
        <v>47</v>
      </c>
      <c r="J143" s="38" t="s">
        <v>376</v>
      </c>
      <c r="R143" s="20"/>
      <c r="T143" s="20"/>
      <c r="V143" s="20"/>
    </row>
    <row r="144" spans="1:22">
      <c r="A144" s="38">
        <v>7520</v>
      </c>
      <c r="B144" s="38" t="s">
        <v>47</v>
      </c>
      <c r="C144" s="179">
        <v>43466</v>
      </c>
      <c r="D144" s="38">
        <v>241</v>
      </c>
      <c r="E144" s="38" t="s">
        <v>70</v>
      </c>
      <c r="F144" s="22">
        <v>1200000</v>
      </c>
      <c r="G144" s="38" t="s">
        <v>130</v>
      </c>
      <c r="H144" s="179">
        <v>43723</v>
      </c>
      <c r="I144" s="38" t="s">
        <v>47</v>
      </c>
      <c r="J144" s="38" t="s">
        <v>376</v>
      </c>
      <c r="R144" s="20"/>
      <c r="T144" s="20"/>
      <c r="V144" s="20"/>
    </row>
    <row r="145" spans="1:22">
      <c r="A145" s="38">
        <v>7341</v>
      </c>
      <c r="B145" s="38" t="s">
        <v>71</v>
      </c>
      <c r="C145" s="179">
        <v>43466</v>
      </c>
      <c r="D145" s="38">
        <v>241</v>
      </c>
      <c r="E145" s="38" t="s">
        <v>70</v>
      </c>
      <c r="F145" s="22">
        <v>17055600</v>
      </c>
      <c r="G145" s="38" t="s">
        <v>130</v>
      </c>
      <c r="H145" s="179">
        <v>43723</v>
      </c>
      <c r="I145" s="38" t="s">
        <v>178</v>
      </c>
      <c r="J145" s="38" t="s">
        <v>376</v>
      </c>
      <c r="R145" s="20"/>
      <c r="T145" s="20"/>
      <c r="V145" s="20"/>
    </row>
    <row r="146" spans="1:22">
      <c r="A146" s="38">
        <v>7301</v>
      </c>
      <c r="B146" s="38" t="s">
        <v>69</v>
      </c>
      <c r="C146" s="179">
        <v>43466</v>
      </c>
      <c r="D146" s="38">
        <v>241</v>
      </c>
      <c r="E146" s="38" t="s">
        <v>70</v>
      </c>
      <c r="F146" s="22">
        <v>414000</v>
      </c>
      <c r="G146" s="38" t="s">
        <v>130</v>
      </c>
      <c r="H146" s="179">
        <v>43723</v>
      </c>
      <c r="I146" s="38" t="s">
        <v>178</v>
      </c>
      <c r="J146" s="38" t="s">
        <v>376</v>
      </c>
      <c r="R146" s="20"/>
      <c r="T146" s="20"/>
      <c r="V146" s="20"/>
    </row>
    <row r="147" spans="1:22">
      <c r="A147" s="38">
        <v>4480</v>
      </c>
      <c r="B147" s="38" t="s">
        <v>67</v>
      </c>
      <c r="C147" s="179">
        <v>43466</v>
      </c>
      <c r="D147" s="38">
        <v>11</v>
      </c>
      <c r="E147" s="38" t="s">
        <v>68</v>
      </c>
      <c r="F147" s="22">
        <v>9492</v>
      </c>
      <c r="G147" s="38" t="s">
        <v>137</v>
      </c>
      <c r="H147" s="179">
        <v>43549</v>
      </c>
      <c r="I147" s="38" t="s">
        <v>377</v>
      </c>
      <c r="J147" s="38" t="s">
        <v>375</v>
      </c>
      <c r="R147" s="20"/>
      <c r="T147" s="20"/>
      <c r="V147" s="20"/>
    </row>
    <row r="148" spans="1:22">
      <c r="A148" s="38">
        <v>4460</v>
      </c>
      <c r="B148" s="38" t="s">
        <v>65</v>
      </c>
      <c r="C148" s="179">
        <v>43466</v>
      </c>
      <c r="D148" s="38">
        <v>87</v>
      </c>
      <c r="E148" s="38" t="s">
        <v>66</v>
      </c>
      <c r="F148" s="22">
        <v>6403</v>
      </c>
      <c r="G148" s="38" t="s">
        <v>137</v>
      </c>
      <c r="H148" s="179">
        <v>43723</v>
      </c>
      <c r="I148" s="38" t="s">
        <v>377</v>
      </c>
      <c r="J148" s="38" t="s">
        <v>375</v>
      </c>
      <c r="R148" s="20"/>
      <c r="T148" s="20"/>
      <c r="V148" s="20"/>
    </row>
    <row r="149" spans="1:22">
      <c r="A149" s="38">
        <v>4410</v>
      </c>
      <c r="B149" s="38" t="s">
        <v>63</v>
      </c>
      <c r="C149" s="179">
        <v>43466</v>
      </c>
      <c r="D149" s="38">
        <v>7</v>
      </c>
      <c r="E149" s="38" t="s">
        <v>64</v>
      </c>
      <c r="F149" s="22">
        <v>21584</v>
      </c>
      <c r="G149" s="38" t="s">
        <v>137</v>
      </c>
      <c r="H149" s="179">
        <v>43544</v>
      </c>
      <c r="I149" s="38" t="s">
        <v>377</v>
      </c>
      <c r="J149" s="38" t="s">
        <v>375</v>
      </c>
      <c r="R149" s="20"/>
      <c r="T149" s="20"/>
      <c r="V149" s="20"/>
    </row>
    <row r="150" spans="1:22">
      <c r="A150" s="38">
        <v>4335</v>
      </c>
      <c r="B150" s="38" t="s">
        <v>62</v>
      </c>
      <c r="C150" s="179">
        <v>43466</v>
      </c>
      <c r="D150" s="38">
        <v>12</v>
      </c>
      <c r="E150" s="38" t="s">
        <v>136</v>
      </c>
      <c r="F150" s="22">
        <v>-14567</v>
      </c>
      <c r="G150" s="38" t="s">
        <v>137</v>
      </c>
      <c r="H150" s="179">
        <v>43549</v>
      </c>
      <c r="I150" s="38" t="s">
        <v>377</v>
      </c>
      <c r="J150" s="38" t="s">
        <v>375</v>
      </c>
      <c r="R150" s="20"/>
      <c r="T150" s="20"/>
      <c r="V150" s="20"/>
    </row>
    <row r="151" spans="1:22">
      <c r="A151" s="38">
        <v>2400</v>
      </c>
      <c r="B151" s="38" t="s">
        <v>60</v>
      </c>
      <c r="C151" s="179">
        <v>43466</v>
      </c>
      <c r="D151" s="38">
        <v>240</v>
      </c>
      <c r="E151" s="38" t="s">
        <v>61</v>
      </c>
      <c r="F151" s="22">
        <v>1200000</v>
      </c>
      <c r="G151" s="38" t="s">
        <v>137</v>
      </c>
      <c r="H151" s="179">
        <v>43723</v>
      </c>
      <c r="I151" s="38" t="s">
        <v>13</v>
      </c>
      <c r="J151" s="38" t="s">
        <v>375</v>
      </c>
      <c r="R151" s="20"/>
      <c r="T151" s="20"/>
      <c r="V151" s="20"/>
    </row>
  </sheetData>
  <sortState xmlns:xlrd2="http://schemas.microsoft.com/office/spreadsheetml/2017/richdata2" ref="A2:K153">
    <sortCondition descending="1" ref="C2:C153"/>
  </sortState>
  <dataConsolidate/>
  <mergeCells count="1">
    <mergeCell ref="M6:Q6"/>
  </mergeCell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tabColor theme="4" tint="0.59999389629810485"/>
  </sheetPr>
  <dimension ref="A1:W151"/>
  <sheetViews>
    <sheetView zoomScaleNormal="100" zoomScaleSheetLayoutView="100" workbookViewId="0">
      <pane ySplit="1" topLeftCell="A2" activePane="bottomLeft" state="frozen"/>
      <selection pane="bottomLeft"/>
    </sheetView>
  </sheetViews>
  <sheetFormatPr defaultRowHeight="15"/>
  <cols>
    <col min="1" max="1" width="11.7109375" style="38" customWidth="1"/>
    <col min="2" max="2" width="28.5703125" style="38" bestFit="1" customWidth="1"/>
    <col min="3" max="4" width="11.7109375" style="38" customWidth="1"/>
    <col min="5" max="5" width="33.42578125" style="38" bestFit="1" customWidth="1"/>
    <col min="6" max="6" width="11.7109375" style="22" customWidth="1"/>
    <col min="7" max="8" width="11.7109375" style="38" customWidth="1"/>
    <col min="9" max="9" width="24.28515625" style="38" bestFit="1" customWidth="1"/>
    <col min="10" max="11" width="9.140625" style="38"/>
    <col min="12" max="12" width="9.140625" customWidth="1"/>
    <col min="13" max="13" width="15.140625" customWidth="1"/>
  </cols>
  <sheetData>
    <row r="1" spans="1:23">
      <c r="A1" s="492" t="s">
        <v>52</v>
      </c>
      <c r="B1" s="492" t="s">
        <v>43</v>
      </c>
      <c r="C1" s="492" t="s">
        <v>53</v>
      </c>
      <c r="D1" s="492" t="s">
        <v>54</v>
      </c>
      <c r="E1" s="492" t="s">
        <v>56</v>
      </c>
      <c r="F1" s="493" t="s">
        <v>57</v>
      </c>
      <c r="G1" s="492" t="s">
        <v>58</v>
      </c>
      <c r="H1" s="492" t="s">
        <v>59</v>
      </c>
      <c r="I1" s="492" t="s">
        <v>367</v>
      </c>
      <c r="J1" s="492" t="s">
        <v>368</v>
      </c>
      <c r="K1" s="492"/>
    </row>
    <row r="2" spans="1:23">
      <c r="A2" s="38">
        <v>9670</v>
      </c>
      <c r="B2" s="38" t="s">
        <v>273</v>
      </c>
      <c r="C2" s="179">
        <v>43496</v>
      </c>
      <c r="D2" s="38">
        <v>247</v>
      </c>
      <c r="E2" s="38" t="s">
        <v>373</v>
      </c>
      <c r="F2" s="22">
        <v>-2500000</v>
      </c>
      <c r="G2" s="38" t="s">
        <v>137</v>
      </c>
      <c r="H2" s="179">
        <v>43496</v>
      </c>
      <c r="I2" s="38" t="s">
        <v>143</v>
      </c>
      <c r="J2" s="38" t="s">
        <v>376</v>
      </c>
      <c r="L2" s="536" t="s">
        <v>553</v>
      </c>
      <c r="S2" s="20"/>
      <c r="U2" s="20"/>
      <c r="W2" s="20"/>
    </row>
    <row r="3" spans="1:23">
      <c r="A3" s="38">
        <v>9780</v>
      </c>
      <c r="B3" s="38" t="s">
        <v>374</v>
      </c>
      <c r="C3" s="179">
        <v>43496</v>
      </c>
      <c r="D3" s="38">
        <v>247</v>
      </c>
      <c r="E3" s="38" t="s">
        <v>373</v>
      </c>
      <c r="F3" s="22">
        <v>-400000</v>
      </c>
      <c r="G3" s="38" t="s">
        <v>137</v>
      </c>
      <c r="H3" s="179">
        <v>43496</v>
      </c>
      <c r="I3" s="38" t="s">
        <v>143</v>
      </c>
      <c r="J3" s="38" t="s">
        <v>376</v>
      </c>
      <c r="L3" s="38" t="s">
        <v>676</v>
      </c>
      <c r="S3" s="20"/>
      <c r="U3" s="20"/>
      <c r="W3" s="20"/>
    </row>
    <row r="4" spans="1:23">
      <c r="A4" s="38">
        <v>9320</v>
      </c>
      <c r="B4" s="38" t="s">
        <v>82</v>
      </c>
      <c r="C4" s="179">
        <v>43496</v>
      </c>
      <c r="D4" s="38">
        <v>24</v>
      </c>
      <c r="E4" s="38" t="s">
        <v>64</v>
      </c>
      <c r="F4" s="22">
        <v>-29100</v>
      </c>
      <c r="G4" s="38" t="s">
        <v>130</v>
      </c>
      <c r="H4" s="179">
        <v>43549</v>
      </c>
      <c r="I4" s="38" t="s">
        <v>142</v>
      </c>
      <c r="J4" s="38" t="s">
        <v>376</v>
      </c>
      <c r="L4" s="38" t="s">
        <v>546</v>
      </c>
      <c r="S4" s="20"/>
      <c r="U4" s="20"/>
      <c r="W4" s="20"/>
    </row>
    <row r="5" spans="1:23">
      <c r="A5" s="38">
        <v>9320</v>
      </c>
      <c r="B5" s="38" t="s">
        <v>82</v>
      </c>
      <c r="C5" s="179">
        <v>43496</v>
      </c>
      <c r="D5" s="38">
        <v>25</v>
      </c>
      <c r="E5" s="38" t="s">
        <v>64</v>
      </c>
      <c r="F5" s="22">
        <v>-5147</v>
      </c>
      <c r="G5" s="38" t="s">
        <v>130</v>
      </c>
      <c r="H5" s="179">
        <v>43549</v>
      </c>
      <c r="I5" s="38" t="s">
        <v>142</v>
      </c>
      <c r="J5" s="38" t="s">
        <v>376</v>
      </c>
      <c r="L5" s="38" t="s">
        <v>547</v>
      </c>
      <c r="S5" s="20"/>
      <c r="U5" s="20"/>
      <c r="W5" s="20"/>
    </row>
    <row r="6" spans="1:23">
      <c r="A6" s="38">
        <v>9511</v>
      </c>
      <c r="B6" s="38" t="s">
        <v>84</v>
      </c>
      <c r="C6" s="179">
        <v>43496</v>
      </c>
      <c r="D6" s="38">
        <v>25</v>
      </c>
      <c r="E6" s="38" t="s">
        <v>64</v>
      </c>
      <c r="F6" s="22">
        <v>996</v>
      </c>
      <c r="G6" s="38" t="s">
        <v>130</v>
      </c>
      <c r="H6" s="179">
        <v>43549</v>
      </c>
      <c r="I6" s="38" t="s">
        <v>143</v>
      </c>
      <c r="J6" s="38" t="s">
        <v>376</v>
      </c>
      <c r="S6" s="20"/>
      <c r="U6" s="20"/>
      <c r="W6" s="20"/>
    </row>
    <row r="7" spans="1:23">
      <c r="A7" s="38">
        <v>4410</v>
      </c>
      <c r="B7" s="38" t="s">
        <v>63</v>
      </c>
      <c r="C7" s="179">
        <v>43496</v>
      </c>
      <c r="D7" s="38">
        <v>25</v>
      </c>
      <c r="E7" s="38" t="s">
        <v>64</v>
      </c>
      <c r="F7" s="22">
        <v>4151</v>
      </c>
      <c r="G7" s="38" t="s">
        <v>130</v>
      </c>
      <c r="H7" s="179">
        <v>43549</v>
      </c>
      <c r="I7" s="38" t="s">
        <v>377</v>
      </c>
      <c r="J7" s="38" t="s">
        <v>375</v>
      </c>
      <c r="S7" s="20"/>
      <c r="U7" s="20"/>
      <c r="W7" s="20"/>
    </row>
    <row r="8" spans="1:23">
      <c r="A8" s="38">
        <v>9511</v>
      </c>
      <c r="B8" s="38" t="s">
        <v>84</v>
      </c>
      <c r="C8" s="179">
        <v>43496</v>
      </c>
      <c r="D8" s="38">
        <v>24</v>
      </c>
      <c r="E8" s="38" t="s">
        <v>64</v>
      </c>
      <c r="F8" s="22">
        <v>5632</v>
      </c>
      <c r="G8" s="38" t="s">
        <v>130</v>
      </c>
      <c r="H8" s="179">
        <v>43549</v>
      </c>
      <c r="I8" s="38" t="s">
        <v>143</v>
      </c>
      <c r="J8" s="38" t="s">
        <v>376</v>
      </c>
      <c r="S8" s="20"/>
      <c r="U8" s="20"/>
      <c r="W8" s="20"/>
    </row>
    <row r="9" spans="1:23">
      <c r="A9" s="38">
        <v>4410</v>
      </c>
      <c r="B9" s="38" t="s">
        <v>63</v>
      </c>
      <c r="C9" s="179">
        <v>43496</v>
      </c>
      <c r="D9" s="38">
        <v>24</v>
      </c>
      <c r="E9" s="38" t="s">
        <v>64</v>
      </c>
      <c r="F9" s="22">
        <v>23468</v>
      </c>
      <c r="G9" s="38" t="s">
        <v>130</v>
      </c>
      <c r="H9" s="179">
        <v>43549</v>
      </c>
      <c r="I9" s="38" t="s">
        <v>377</v>
      </c>
      <c r="J9" s="38" t="s">
        <v>375</v>
      </c>
      <c r="S9" s="20"/>
      <c r="U9" s="20"/>
      <c r="W9" s="20"/>
    </row>
    <row r="10" spans="1:23">
      <c r="A10" s="38">
        <v>3301</v>
      </c>
      <c r="B10" s="38" t="s">
        <v>223</v>
      </c>
      <c r="C10" s="179">
        <v>43496</v>
      </c>
      <c r="D10" s="38">
        <v>247</v>
      </c>
      <c r="E10" s="38" t="s">
        <v>373</v>
      </c>
      <c r="F10" s="22">
        <v>400000</v>
      </c>
      <c r="G10" s="38" t="s">
        <v>137</v>
      </c>
      <c r="H10" s="179">
        <v>43496</v>
      </c>
      <c r="I10" s="38" t="s">
        <v>158</v>
      </c>
      <c r="J10" s="38" t="s">
        <v>375</v>
      </c>
      <c r="M10" s="4"/>
      <c r="S10" s="20"/>
      <c r="U10" s="20"/>
      <c r="W10" s="20"/>
    </row>
    <row r="11" spans="1:23">
      <c r="A11" s="38">
        <v>3300</v>
      </c>
      <c r="B11" s="38" t="s">
        <v>372</v>
      </c>
      <c r="C11" s="179">
        <v>43496</v>
      </c>
      <c r="D11" s="38">
        <v>247</v>
      </c>
      <c r="E11" s="38" t="s">
        <v>373</v>
      </c>
      <c r="F11" s="22">
        <v>2500000</v>
      </c>
      <c r="G11" s="38" t="s">
        <v>137</v>
      </c>
      <c r="H11" s="179">
        <v>43496</v>
      </c>
      <c r="I11" s="38" t="s">
        <v>158</v>
      </c>
      <c r="J11" s="38" t="s">
        <v>375</v>
      </c>
      <c r="S11" s="20"/>
      <c r="U11" s="20"/>
      <c r="W11" s="20"/>
    </row>
    <row r="12" spans="1:23">
      <c r="A12" s="38">
        <v>7620</v>
      </c>
      <c r="B12" s="38" t="s">
        <v>72</v>
      </c>
      <c r="C12" s="179">
        <v>43495</v>
      </c>
      <c r="D12" s="38">
        <v>16</v>
      </c>
      <c r="E12" s="38" t="s">
        <v>131</v>
      </c>
      <c r="F12" s="22">
        <v>-920000</v>
      </c>
      <c r="G12" s="38" t="s">
        <v>130</v>
      </c>
      <c r="H12" s="179">
        <v>43549</v>
      </c>
      <c r="I12" s="38" t="s">
        <v>139</v>
      </c>
      <c r="J12" s="38" t="s">
        <v>376</v>
      </c>
      <c r="L12" s="38"/>
      <c r="M12" s="4"/>
      <c r="S12" s="20"/>
      <c r="U12" s="20"/>
      <c r="W12" s="20"/>
    </row>
    <row r="13" spans="1:23">
      <c r="A13" s="38">
        <v>7810</v>
      </c>
      <c r="B13" s="38" t="s">
        <v>76</v>
      </c>
      <c r="C13" s="179">
        <v>43495</v>
      </c>
      <c r="D13" s="38">
        <v>17</v>
      </c>
      <c r="E13" s="38" t="s">
        <v>134</v>
      </c>
      <c r="F13" s="22">
        <v>-904227</v>
      </c>
      <c r="G13" s="38" t="s">
        <v>130</v>
      </c>
      <c r="H13" s="179">
        <v>43549</v>
      </c>
      <c r="I13" s="38" t="s">
        <v>141</v>
      </c>
      <c r="J13" s="38" t="s">
        <v>376</v>
      </c>
      <c r="S13" s="20"/>
      <c r="U13" s="20"/>
      <c r="W13" s="20"/>
    </row>
    <row r="14" spans="1:23">
      <c r="A14" s="38">
        <v>9320</v>
      </c>
      <c r="B14" s="38" t="s">
        <v>82</v>
      </c>
      <c r="C14" s="179">
        <v>43495</v>
      </c>
      <c r="D14" s="38">
        <v>17</v>
      </c>
      <c r="E14" s="38" t="s">
        <v>134</v>
      </c>
      <c r="F14" s="22">
        <v>904227</v>
      </c>
      <c r="G14" s="38" t="s">
        <v>130</v>
      </c>
      <c r="H14" s="179">
        <v>43549</v>
      </c>
      <c r="I14" s="38" t="s">
        <v>142</v>
      </c>
      <c r="J14" s="38" t="s">
        <v>376</v>
      </c>
      <c r="S14" s="20"/>
      <c r="U14" s="20"/>
      <c r="W14" s="20"/>
    </row>
    <row r="15" spans="1:23">
      <c r="A15" s="38">
        <v>7810</v>
      </c>
      <c r="B15" s="38" t="s">
        <v>76</v>
      </c>
      <c r="C15" s="179">
        <v>43495</v>
      </c>
      <c r="D15" s="38">
        <v>16</v>
      </c>
      <c r="E15" s="38" t="s">
        <v>131</v>
      </c>
      <c r="F15" s="22">
        <v>920000</v>
      </c>
      <c r="G15" s="38" t="s">
        <v>130</v>
      </c>
      <c r="H15" s="179">
        <v>43549</v>
      </c>
      <c r="I15" s="38" t="s">
        <v>141</v>
      </c>
      <c r="J15" s="38" t="s">
        <v>376</v>
      </c>
      <c r="S15" s="20"/>
      <c r="U15" s="20"/>
      <c r="W15" s="20"/>
    </row>
    <row r="16" spans="1:23">
      <c r="A16" s="38">
        <v>9320</v>
      </c>
      <c r="B16" s="38" t="s">
        <v>82</v>
      </c>
      <c r="C16" s="179">
        <v>43494</v>
      </c>
      <c r="D16" s="38">
        <v>19</v>
      </c>
      <c r="E16" s="38" t="s">
        <v>126</v>
      </c>
      <c r="F16" s="22">
        <v>-517478</v>
      </c>
      <c r="G16" s="38" t="s">
        <v>130</v>
      </c>
      <c r="H16" s="179">
        <v>43549</v>
      </c>
      <c r="I16" s="38" t="s">
        <v>142</v>
      </c>
      <c r="J16" s="38" t="s">
        <v>376</v>
      </c>
      <c r="S16" s="20"/>
      <c r="U16" s="20"/>
      <c r="W16" s="20"/>
    </row>
    <row r="17" spans="1:23">
      <c r="A17" s="38">
        <v>4145</v>
      </c>
      <c r="B17" s="38" t="s">
        <v>127</v>
      </c>
      <c r="C17" s="179">
        <v>43494</v>
      </c>
      <c r="D17" s="38">
        <v>19</v>
      </c>
      <c r="E17" s="38" t="s">
        <v>126</v>
      </c>
      <c r="F17" s="22">
        <v>47320</v>
      </c>
      <c r="G17" s="38" t="s">
        <v>130</v>
      </c>
      <c r="H17" s="179">
        <v>43549</v>
      </c>
      <c r="I17" s="38" t="s">
        <v>377</v>
      </c>
      <c r="J17" s="38" t="s">
        <v>375</v>
      </c>
      <c r="S17" s="20"/>
      <c r="U17" s="20"/>
      <c r="W17" s="20"/>
    </row>
    <row r="18" spans="1:23">
      <c r="A18" s="38">
        <v>4335</v>
      </c>
      <c r="B18" s="38" t="s">
        <v>62</v>
      </c>
      <c r="C18" s="179">
        <v>43494</v>
      </c>
      <c r="D18" s="38">
        <v>19</v>
      </c>
      <c r="E18" s="38" t="s">
        <v>126</v>
      </c>
      <c r="F18" s="22">
        <v>95396</v>
      </c>
      <c r="G18" s="38" t="s">
        <v>130</v>
      </c>
      <c r="H18" s="179">
        <v>43549</v>
      </c>
      <c r="I18" s="38" t="s">
        <v>377</v>
      </c>
      <c r="J18" s="38" t="s">
        <v>375</v>
      </c>
      <c r="S18" s="20"/>
      <c r="U18" s="20"/>
      <c r="W18" s="20"/>
    </row>
    <row r="19" spans="1:23">
      <c r="A19" s="38">
        <v>3310</v>
      </c>
      <c r="B19" s="38" t="s">
        <v>125</v>
      </c>
      <c r="C19" s="179">
        <v>43494</v>
      </c>
      <c r="D19" s="38">
        <v>19</v>
      </c>
      <c r="E19" s="38" t="s">
        <v>126</v>
      </c>
      <c r="F19" s="22">
        <v>374762</v>
      </c>
      <c r="G19" s="38" t="s">
        <v>130</v>
      </c>
      <c r="H19" s="179">
        <v>43549</v>
      </c>
      <c r="I19" s="38" t="s">
        <v>371</v>
      </c>
      <c r="J19" s="38" t="s">
        <v>375</v>
      </c>
      <c r="S19" s="20"/>
      <c r="U19" s="20"/>
      <c r="W19" s="20"/>
    </row>
    <row r="20" spans="1:23">
      <c r="A20" s="38">
        <v>4330</v>
      </c>
      <c r="B20" s="38" t="s">
        <v>99</v>
      </c>
      <c r="C20" s="179">
        <v>43493</v>
      </c>
      <c r="D20" s="38">
        <v>229</v>
      </c>
      <c r="E20" s="38" t="s">
        <v>124</v>
      </c>
      <c r="F20" s="22">
        <v>-11610</v>
      </c>
      <c r="G20" s="38" t="s">
        <v>130</v>
      </c>
      <c r="H20" s="179">
        <v>43723</v>
      </c>
      <c r="I20" s="38" t="s">
        <v>377</v>
      </c>
      <c r="J20" s="38" t="s">
        <v>375</v>
      </c>
      <c r="S20" s="20"/>
      <c r="U20" s="20"/>
      <c r="W20" s="20"/>
    </row>
    <row r="21" spans="1:23">
      <c r="A21" s="38">
        <v>7810</v>
      </c>
      <c r="B21" s="38" t="s">
        <v>76</v>
      </c>
      <c r="C21" s="179">
        <v>43493</v>
      </c>
      <c r="D21" s="38">
        <v>51</v>
      </c>
      <c r="E21" s="38" t="s">
        <v>100</v>
      </c>
      <c r="F21" s="22">
        <v>-11610</v>
      </c>
      <c r="G21" s="38" t="s">
        <v>130</v>
      </c>
      <c r="H21" s="179">
        <v>43549</v>
      </c>
      <c r="I21" s="38" t="s">
        <v>141</v>
      </c>
      <c r="J21" s="38" t="s">
        <v>376</v>
      </c>
      <c r="S21" s="20"/>
      <c r="U21" s="20"/>
      <c r="W21" s="20"/>
    </row>
    <row r="22" spans="1:23">
      <c r="A22" s="38">
        <v>7810</v>
      </c>
      <c r="B22" s="38" t="s">
        <v>76</v>
      </c>
      <c r="C22" s="179">
        <v>43493</v>
      </c>
      <c r="D22" s="38">
        <v>176</v>
      </c>
      <c r="E22" s="38" t="s">
        <v>100</v>
      </c>
      <c r="F22" s="22">
        <v>-11610</v>
      </c>
      <c r="G22" s="38" t="s">
        <v>130</v>
      </c>
      <c r="H22" s="179">
        <v>43723</v>
      </c>
      <c r="I22" s="38" t="s">
        <v>141</v>
      </c>
      <c r="J22" s="38" t="s">
        <v>376</v>
      </c>
      <c r="S22" s="20"/>
      <c r="U22" s="20"/>
      <c r="W22" s="20"/>
    </row>
    <row r="23" spans="1:23">
      <c r="A23" s="38">
        <v>4330</v>
      </c>
      <c r="B23" s="38" t="s">
        <v>99</v>
      </c>
      <c r="C23" s="179">
        <v>43493</v>
      </c>
      <c r="D23" s="38">
        <v>51</v>
      </c>
      <c r="E23" s="38" t="s">
        <v>100</v>
      </c>
      <c r="F23" s="22">
        <v>11610</v>
      </c>
      <c r="G23" s="38" t="s">
        <v>130</v>
      </c>
      <c r="H23" s="179">
        <v>43549</v>
      </c>
      <c r="I23" s="38" t="s">
        <v>377</v>
      </c>
      <c r="J23" s="38" t="s">
        <v>375</v>
      </c>
      <c r="S23" s="20"/>
      <c r="U23" s="20"/>
      <c r="W23" s="20"/>
    </row>
    <row r="24" spans="1:23">
      <c r="A24" s="38">
        <v>4330</v>
      </c>
      <c r="B24" s="38" t="s">
        <v>99</v>
      </c>
      <c r="C24" s="179">
        <v>43493</v>
      </c>
      <c r="D24" s="38">
        <v>176</v>
      </c>
      <c r="E24" s="38" t="s">
        <v>100</v>
      </c>
      <c r="F24" s="22">
        <v>11610</v>
      </c>
      <c r="G24" s="38" t="s">
        <v>130</v>
      </c>
      <c r="H24" s="179">
        <v>43723</v>
      </c>
      <c r="I24" s="38" t="s">
        <v>377</v>
      </c>
      <c r="J24" s="38" t="s">
        <v>375</v>
      </c>
      <c r="S24" s="20"/>
      <c r="U24" s="20"/>
      <c r="W24" s="20"/>
    </row>
    <row r="25" spans="1:23">
      <c r="A25" s="38">
        <v>7810</v>
      </c>
      <c r="B25" s="38" t="s">
        <v>76</v>
      </c>
      <c r="C25" s="179">
        <v>43493</v>
      </c>
      <c r="D25" s="38">
        <v>229</v>
      </c>
      <c r="E25" s="38" t="s">
        <v>124</v>
      </c>
      <c r="F25" s="22">
        <v>11610</v>
      </c>
      <c r="G25" s="38" t="s">
        <v>130</v>
      </c>
      <c r="H25" s="179">
        <v>43723</v>
      </c>
      <c r="I25" s="38" t="s">
        <v>141</v>
      </c>
      <c r="J25" s="38" t="s">
        <v>376</v>
      </c>
      <c r="S25" s="20"/>
      <c r="U25" s="20"/>
      <c r="W25" s="20"/>
    </row>
    <row r="26" spans="1:23">
      <c r="A26" s="38">
        <v>7620</v>
      </c>
      <c r="B26" s="38" t="s">
        <v>72</v>
      </c>
      <c r="C26" s="179">
        <v>43492</v>
      </c>
      <c r="D26" s="38">
        <v>228</v>
      </c>
      <c r="E26" s="38" t="s">
        <v>123</v>
      </c>
      <c r="F26" s="22">
        <v>-150000</v>
      </c>
      <c r="G26" s="38" t="s">
        <v>130</v>
      </c>
      <c r="H26" s="179">
        <v>43723</v>
      </c>
      <c r="I26" s="38" t="s">
        <v>139</v>
      </c>
      <c r="J26" s="38" t="s">
        <v>376</v>
      </c>
      <c r="S26" s="20"/>
      <c r="U26" s="20"/>
      <c r="W26" s="20"/>
    </row>
    <row r="27" spans="1:23">
      <c r="A27" s="38">
        <v>7810</v>
      </c>
      <c r="B27" s="38" t="s">
        <v>76</v>
      </c>
      <c r="C27" s="179">
        <v>43492</v>
      </c>
      <c r="D27" s="38">
        <v>50</v>
      </c>
      <c r="E27" s="38" t="s">
        <v>122</v>
      </c>
      <c r="F27" s="22">
        <v>-150000</v>
      </c>
      <c r="G27" s="38" t="s">
        <v>130</v>
      </c>
      <c r="H27" s="179">
        <v>43549</v>
      </c>
      <c r="I27" s="38" t="s">
        <v>141</v>
      </c>
      <c r="J27" s="38" t="s">
        <v>376</v>
      </c>
      <c r="S27" s="20"/>
      <c r="U27" s="20"/>
      <c r="W27" s="20"/>
    </row>
    <row r="28" spans="1:23">
      <c r="A28" s="38">
        <v>7810</v>
      </c>
      <c r="B28" s="38" t="s">
        <v>76</v>
      </c>
      <c r="C28" s="179">
        <v>43492</v>
      </c>
      <c r="D28" s="38">
        <v>194</v>
      </c>
      <c r="E28" s="38" t="s">
        <v>137</v>
      </c>
      <c r="F28" s="22">
        <v>-150000</v>
      </c>
      <c r="G28" s="38" t="s">
        <v>130</v>
      </c>
      <c r="H28" s="179">
        <v>43723</v>
      </c>
      <c r="I28" s="38" t="s">
        <v>141</v>
      </c>
      <c r="J28" s="38" t="s">
        <v>376</v>
      </c>
      <c r="S28" s="20"/>
      <c r="U28" s="20"/>
      <c r="W28" s="20"/>
    </row>
    <row r="29" spans="1:23">
      <c r="A29" s="38">
        <v>7620</v>
      </c>
      <c r="B29" s="38" t="s">
        <v>72</v>
      </c>
      <c r="C29" s="179">
        <v>43492</v>
      </c>
      <c r="D29" s="38">
        <v>50</v>
      </c>
      <c r="E29" s="38" t="s">
        <v>122</v>
      </c>
      <c r="F29" s="22">
        <v>150000</v>
      </c>
      <c r="G29" s="38" t="s">
        <v>130</v>
      </c>
      <c r="H29" s="179">
        <v>43549</v>
      </c>
      <c r="I29" s="38" t="s">
        <v>139</v>
      </c>
      <c r="J29" s="38" t="s">
        <v>376</v>
      </c>
      <c r="S29" s="20"/>
      <c r="U29" s="20"/>
      <c r="W29" s="20"/>
    </row>
    <row r="30" spans="1:23">
      <c r="A30" s="38">
        <v>7620</v>
      </c>
      <c r="B30" s="38" t="s">
        <v>72</v>
      </c>
      <c r="C30" s="179">
        <v>43492</v>
      </c>
      <c r="D30" s="38">
        <v>194</v>
      </c>
      <c r="E30" s="38" t="s">
        <v>137</v>
      </c>
      <c r="F30" s="22">
        <v>150000</v>
      </c>
      <c r="G30" s="38" t="s">
        <v>130</v>
      </c>
      <c r="H30" s="179">
        <v>43723</v>
      </c>
      <c r="I30" s="38" t="s">
        <v>139</v>
      </c>
      <c r="J30" s="38" t="s">
        <v>376</v>
      </c>
      <c r="S30" s="20"/>
      <c r="U30" s="20"/>
      <c r="W30" s="20"/>
    </row>
    <row r="31" spans="1:23">
      <c r="A31" s="38">
        <v>7810</v>
      </c>
      <c r="B31" s="38" t="s">
        <v>76</v>
      </c>
      <c r="C31" s="179">
        <v>43492</v>
      </c>
      <c r="D31" s="38">
        <v>228</v>
      </c>
      <c r="E31" s="38" t="s">
        <v>123</v>
      </c>
      <c r="F31" s="22">
        <v>150000</v>
      </c>
      <c r="G31" s="38" t="s">
        <v>130</v>
      </c>
      <c r="H31" s="179">
        <v>43723</v>
      </c>
      <c r="I31" s="38" t="s">
        <v>141</v>
      </c>
      <c r="J31" s="38" t="s">
        <v>376</v>
      </c>
      <c r="S31" s="20"/>
      <c r="U31" s="20"/>
      <c r="W31" s="20"/>
    </row>
    <row r="32" spans="1:23">
      <c r="A32" s="38">
        <v>7810</v>
      </c>
      <c r="B32" s="38" t="s">
        <v>76</v>
      </c>
      <c r="C32" s="179">
        <v>43489</v>
      </c>
      <c r="D32" s="38">
        <v>15</v>
      </c>
      <c r="E32" s="38" t="s">
        <v>120</v>
      </c>
      <c r="F32" s="22">
        <v>-126848</v>
      </c>
      <c r="G32" s="38" t="s">
        <v>130</v>
      </c>
      <c r="H32" s="179">
        <v>43549</v>
      </c>
      <c r="I32" s="38" t="s">
        <v>141</v>
      </c>
      <c r="J32" s="38" t="s">
        <v>376</v>
      </c>
      <c r="S32" s="20"/>
      <c r="U32" s="20"/>
      <c r="W32" s="20"/>
    </row>
    <row r="33" spans="1:23">
      <c r="A33" s="38">
        <v>7810</v>
      </c>
      <c r="B33" s="38" t="s">
        <v>76</v>
      </c>
      <c r="C33" s="179">
        <v>43489</v>
      </c>
      <c r="D33" s="38">
        <v>14</v>
      </c>
      <c r="E33" s="38" t="s">
        <v>121</v>
      </c>
      <c r="F33" s="22">
        <v>-20000</v>
      </c>
      <c r="G33" s="38" t="s">
        <v>130</v>
      </c>
      <c r="H33" s="179">
        <v>43549</v>
      </c>
      <c r="I33" s="38" t="s">
        <v>141</v>
      </c>
      <c r="J33" s="38" t="s">
        <v>376</v>
      </c>
      <c r="S33" s="20"/>
      <c r="U33" s="20"/>
      <c r="W33" s="20"/>
    </row>
    <row r="34" spans="1:23">
      <c r="A34" s="38">
        <v>6220</v>
      </c>
      <c r="B34" s="38" t="s">
        <v>45</v>
      </c>
      <c r="C34" s="179">
        <v>43489</v>
      </c>
      <c r="D34" s="38">
        <v>15</v>
      </c>
      <c r="E34" s="38" t="s">
        <v>120</v>
      </c>
      <c r="F34" s="22">
        <v>1924</v>
      </c>
      <c r="G34" s="38" t="s">
        <v>130</v>
      </c>
      <c r="H34" s="179">
        <v>43549</v>
      </c>
      <c r="I34" s="38" t="s">
        <v>378</v>
      </c>
      <c r="J34" s="38" t="s">
        <v>375</v>
      </c>
      <c r="S34" s="20"/>
      <c r="U34" s="20"/>
      <c r="W34" s="20"/>
    </row>
    <row r="35" spans="1:23">
      <c r="A35" s="38">
        <v>9320</v>
      </c>
      <c r="B35" s="38" t="s">
        <v>82</v>
      </c>
      <c r="C35" s="179">
        <v>43489</v>
      </c>
      <c r="D35" s="38">
        <v>14</v>
      </c>
      <c r="E35" s="38" t="s">
        <v>121</v>
      </c>
      <c r="F35" s="22">
        <v>20000</v>
      </c>
      <c r="G35" s="38" t="s">
        <v>130</v>
      </c>
      <c r="H35" s="179">
        <v>43549</v>
      </c>
      <c r="I35" s="38" t="s">
        <v>142</v>
      </c>
      <c r="J35" s="38" t="s">
        <v>376</v>
      </c>
      <c r="S35" s="20"/>
      <c r="U35" s="20"/>
      <c r="W35" s="20"/>
    </row>
    <row r="36" spans="1:23">
      <c r="A36" s="38">
        <v>6200</v>
      </c>
      <c r="B36" s="38" t="s">
        <v>21</v>
      </c>
      <c r="C36" s="179">
        <v>43489</v>
      </c>
      <c r="D36" s="38">
        <v>15</v>
      </c>
      <c r="E36" s="38" t="s">
        <v>120</v>
      </c>
      <c r="F36" s="22">
        <v>23477</v>
      </c>
      <c r="G36" s="38" t="s">
        <v>130</v>
      </c>
      <c r="H36" s="179">
        <v>43549</v>
      </c>
      <c r="I36" s="38" t="s">
        <v>378</v>
      </c>
      <c r="J36" s="38" t="s">
        <v>375</v>
      </c>
      <c r="S36" s="20"/>
      <c r="U36" s="20"/>
      <c r="W36" s="20"/>
    </row>
    <row r="37" spans="1:23">
      <c r="A37" s="38">
        <v>8730</v>
      </c>
      <c r="B37" s="38" t="s">
        <v>81</v>
      </c>
      <c r="C37" s="179">
        <v>43489</v>
      </c>
      <c r="D37" s="38">
        <v>15</v>
      </c>
      <c r="E37" s="38" t="s">
        <v>120</v>
      </c>
      <c r="F37" s="22">
        <v>101447</v>
      </c>
      <c r="G37" s="38" t="s">
        <v>130</v>
      </c>
      <c r="H37" s="179">
        <v>43549</v>
      </c>
      <c r="I37" s="38" t="s">
        <v>155</v>
      </c>
      <c r="J37" s="38" t="s">
        <v>376</v>
      </c>
      <c r="S37" s="20"/>
      <c r="U37" s="20"/>
      <c r="W37" s="20"/>
    </row>
    <row r="38" spans="1:23">
      <c r="A38" s="38">
        <v>4330</v>
      </c>
      <c r="B38" s="38" t="s">
        <v>99</v>
      </c>
      <c r="C38" s="179">
        <v>43487</v>
      </c>
      <c r="D38" s="38">
        <v>227</v>
      </c>
      <c r="E38" s="38" t="s">
        <v>119</v>
      </c>
      <c r="F38" s="22">
        <v>-10311</v>
      </c>
      <c r="G38" s="38" t="s">
        <v>130</v>
      </c>
      <c r="H38" s="179">
        <v>43723</v>
      </c>
      <c r="I38" s="38" t="s">
        <v>377</v>
      </c>
      <c r="J38" s="38" t="s">
        <v>375</v>
      </c>
      <c r="S38" s="20"/>
      <c r="U38" s="20"/>
      <c r="W38" s="20"/>
    </row>
    <row r="39" spans="1:23">
      <c r="A39" s="38">
        <v>7810</v>
      </c>
      <c r="B39" s="38" t="s">
        <v>76</v>
      </c>
      <c r="C39" s="179">
        <v>43487</v>
      </c>
      <c r="D39" s="38">
        <v>177</v>
      </c>
      <c r="E39" s="38" t="s">
        <v>100</v>
      </c>
      <c r="F39" s="22">
        <v>-10311</v>
      </c>
      <c r="G39" s="38" t="s">
        <v>130</v>
      </c>
      <c r="H39" s="179">
        <v>43723</v>
      </c>
      <c r="I39" s="38" t="s">
        <v>141</v>
      </c>
      <c r="J39" s="38" t="s">
        <v>376</v>
      </c>
      <c r="S39" s="20"/>
      <c r="U39" s="20"/>
      <c r="W39" s="20"/>
    </row>
    <row r="40" spans="1:23">
      <c r="A40" s="38">
        <v>4330</v>
      </c>
      <c r="B40" s="38" t="s">
        <v>99</v>
      </c>
      <c r="C40" s="179">
        <v>43487</v>
      </c>
      <c r="D40" s="38">
        <v>177</v>
      </c>
      <c r="E40" s="38" t="s">
        <v>100</v>
      </c>
      <c r="F40" s="22">
        <v>10311</v>
      </c>
      <c r="G40" s="38" t="s">
        <v>130</v>
      </c>
      <c r="H40" s="179">
        <v>43723</v>
      </c>
      <c r="I40" s="38" t="s">
        <v>377</v>
      </c>
      <c r="J40" s="38" t="s">
        <v>375</v>
      </c>
      <c r="S40" s="20"/>
      <c r="U40" s="20"/>
      <c r="W40" s="20"/>
    </row>
    <row r="41" spans="1:23">
      <c r="A41" s="38">
        <v>7810</v>
      </c>
      <c r="B41" s="38" t="s">
        <v>76</v>
      </c>
      <c r="C41" s="179">
        <v>43487</v>
      </c>
      <c r="D41" s="38">
        <v>227</v>
      </c>
      <c r="E41" s="38" t="s">
        <v>119</v>
      </c>
      <c r="F41" s="22">
        <v>10311</v>
      </c>
      <c r="G41" s="38" t="s">
        <v>130</v>
      </c>
      <c r="H41" s="179">
        <v>43723</v>
      </c>
      <c r="I41" s="38" t="s">
        <v>141</v>
      </c>
      <c r="J41" s="38" t="s">
        <v>376</v>
      </c>
      <c r="S41" s="20"/>
      <c r="U41" s="20"/>
      <c r="W41" s="20"/>
    </row>
    <row r="42" spans="1:23">
      <c r="A42" s="38">
        <v>7840</v>
      </c>
      <c r="B42" s="38" t="s">
        <v>78</v>
      </c>
      <c r="C42" s="179">
        <v>43485</v>
      </c>
      <c r="D42" s="38">
        <v>13</v>
      </c>
      <c r="E42" s="38" t="s">
        <v>118</v>
      </c>
      <c r="F42" s="22">
        <v>-289636</v>
      </c>
      <c r="G42" s="38" t="s">
        <v>130</v>
      </c>
      <c r="H42" s="179">
        <v>43549</v>
      </c>
      <c r="I42" s="38" t="s">
        <v>141</v>
      </c>
      <c r="J42" s="38" t="s">
        <v>376</v>
      </c>
      <c r="S42" s="20"/>
      <c r="U42" s="20"/>
      <c r="W42" s="20"/>
    </row>
    <row r="43" spans="1:23">
      <c r="A43" s="38">
        <v>7810</v>
      </c>
      <c r="B43" s="38" t="s">
        <v>76</v>
      </c>
      <c r="C43" s="179">
        <v>43485</v>
      </c>
      <c r="D43" s="38">
        <v>13</v>
      </c>
      <c r="E43" s="38" t="s">
        <v>118</v>
      </c>
      <c r="F43" s="22">
        <v>289636</v>
      </c>
      <c r="G43" s="38" t="s">
        <v>130</v>
      </c>
      <c r="H43" s="179">
        <v>43549</v>
      </c>
      <c r="I43" s="38" t="s">
        <v>141</v>
      </c>
      <c r="J43" s="38" t="s">
        <v>376</v>
      </c>
      <c r="S43" s="20"/>
      <c r="U43" s="20"/>
      <c r="W43" s="20"/>
    </row>
    <row r="44" spans="1:23">
      <c r="A44" s="38">
        <v>9325</v>
      </c>
      <c r="B44" s="38" t="s">
        <v>83</v>
      </c>
      <c r="C44" s="179">
        <v>43484</v>
      </c>
      <c r="D44" s="38">
        <v>10</v>
      </c>
      <c r="E44" s="38" t="s">
        <v>117</v>
      </c>
      <c r="F44" s="22">
        <v>-5557</v>
      </c>
      <c r="G44" s="38" t="s">
        <v>130</v>
      </c>
      <c r="H44" s="179">
        <v>43549</v>
      </c>
      <c r="I44" s="38" t="s">
        <v>143</v>
      </c>
      <c r="J44" s="38" t="s">
        <v>376</v>
      </c>
      <c r="S44" s="20"/>
      <c r="U44" s="20"/>
      <c r="W44" s="20"/>
    </row>
    <row r="45" spans="1:23">
      <c r="A45" s="38">
        <v>9511</v>
      </c>
      <c r="B45" s="38" t="s">
        <v>84</v>
      </c>
      <c r="C45" s="179">
        <v>43484</v>
      </c>
      <c r="D45" s="38">
        <v>10</v>
      </c>
      <c r="E45" s="38" t="s">
        <v>117</v>
      </c>
      <c r="F45" s="22">
        <v>1076</v>
      </c>
      <c r="G45" s="38" t="s">
        <v>130</v>
      </c>
      <c r="H45" s="179">
        <v>43549</v>
      </c>
      <c r="I45" s="38" t="s">
        <v>143</v>
      </c>
      <c r="J45" s="38" t="s">
        <v>376</v>
      </c>
      <c r="S45" s="20"/>
      <c r="U45" s="20"/>
      <c r="W45" s="20"/>
    </row>
    <row r="46" spans="1:23">
      <c r="A46" s="38">
        <v>4315</v>
      </c>
      <c r="B46" s="38" t="s">
        <v>116</v>
      </c>
      <c r="C46" s="179">
        <v>43484</v>
      </c>
      <c r="D46" s="38">
        <v>10</v>
      </c>
      <c r="E46" s="38" t="s">
        <v>117</v>
      </c>
      <c r="F46" s="22">
        <v>4481</v>
      </c>
      <c r="G46" s="38" t="s">
        <v>130</v>
      </c>
      <c r="H46" s="179">
        <v>43549</v>
      </c>
      <c r="I46" s="38" t="s">
        <v>377</v>
      </c>
      <c r="J46" s="38" t="s">
        <v>375</v>
      </c>
      <c r="S46" s="20"/>
      <c r="U46" s="20"/>
      <c r="W46" s="20"/>
    </row>
    <row r="47" spans="1:23">
      <c r="A47" s="38">
        <v>7620</v>
      </c>
      <c r="B47" s="38" t="s">
        <v>72</v>
      </c>
      <c r="C47" s="179">
        <v>43483</v>
      </c>
      <c r="D47" s="38">
        <v>246</v>
      </c>
      <c r="E47" s="38" t="s">
        <v>115</v>
      </c>
      <c r="F47" s="22">
        <v>-144300</v>
      </c>
      <c r="G47" s="38" t="s">
        <v>129</v>
      </c>
      <c r="H47" s="179">
        <v>43864</v>
      </c>
      <c r="I47" s="38" t="s">
        <v>139</v>
      </c>
      <c r="J47" s="38" t="s">
        <v>376</v>
      </c>
      <c r="S47" s="20"/>
      <c r="U47" s="20"/>
      <c r="W47" s="20"/>
    </row>
    <row r="48" spans="1:23">
      <c r="A48" s="38">
        <v>1115</v>
      </c>
      <c r="B48" s="38" t="s">
        <v>114</v>
      </c>
      <c r="C48" s="179">
        <v>43483</v>
      </c>
      <c r="D48" s="38">
        <v>245</v>
      </c>
      <c r="E48" s="38" t="s">
        <v>55</v>
      </c>
      <c r="F48" s="22">
        <v>-130000</v>
      </c>
      <c r="G48" s="38" t="s">
        <v>129</v>
      </c>
      <c r="H48" s="179">
        <v>43856</v>
      </c>
      <c r="I48" s="38" t="s">
        <v>9</v>
      </c>
      <c r="J48" s="38" t="s">
        <v>375</v>
      </c>
      <c r="S48" s="20"/>
      <c r="U48" s="20"/>
      <c r="W48" s="20"/>
    </row>
    <row r="49" spans="1:23">
      <c r="A49" s="38">
        <v>9533</v>
      </c>
      <c r="B49" s="38" t="s">
        <v>98</v>
      </c>
      <c r="C49" s="179">
        <v>43483</v>
      </c>
      <c r="D49" s="38">
        <v>245</v>
      </c>
      <c r="E49" s="38" t="s">
        <v>115</v>
      </c>
      <c r="F49" s="22">
        <v>-14300</v>
      </c>
      <c r="G49" s="38" t="s">
        <v>129</v>
      </c>
      <c r="H49" s="179">
        <v>43856</v>
      </c>
      <c r="I49" s="38" t="s">
        <v>143</v>
      </c>
      <c r="J49" s="38" t="s">
        <v>376</v>
      </c>
      <c r="S49" s="20"/>
      <c r="U49" s="20"/>
      <c r="W49" s="20"/>
    </row>
    <row r="50" spans="1:23">
      <c r="A50" s="38">
        <v>9533</v>
      </c>
      <c r="B50" s="38" t="s">
        <v>98</v>
      </c>
      <c r="C50" s="179">
        <v>43483</v>
      </c>
      <c r="D50" s="38">
        <v>246</v>
      </c>
      <c r="E50" s="38" t="s">
        <v>115</v>
      </c>
      <c r="F50" s="22">
        <v>14300</v>
      </c>
      <c r="G50" s="38" t="s">
        <v>129</v>
      </c>
      <c r="H50" s="179">
        <v>43864</v>
      </c>
      <c r="I50" s="38" t="s">
        <v>143</v>
      </c>
      <c r="J50" s="38" t="s">
        <v>376</v>
      </c>
      <c r="S50" s="20"/>
      <c r="U50" s="20"/>
      <c r="W50" s="20"/>
    </row>
    <row r="51" spans="1:23">
      <c r="A51" s="38">
        <v>1115</v>
      </c>
      <c r="B51" s="38" t="s">
        <v>114</v>
      </c>
      <c r="C51" s="179">
        <v>43483</v>
      </c>
      <c r="D51" s="38">
        <v>246</v>
      </c>
      <c r="E51" s="38" t="s">
        <v>55</v>
      </c>
      <c r="F51" s="22">
        <v>130000</v>
      </c>
      <c r="G51" s="38" t="s">
        <v>129</v>
      </c>
      <c r="H51" s="179">
        <v>43864</v>
      </c>
      <c r="I51" s="38" t="s">
        <v>9</v>
      </c>
      <c r="J51" s="38" t="s">
        <v>375</v>
      </c>
      <c r="S51" s="20"/>
      <c r="U51" s="20"/>
      <c r="W51" s="20"/>
    </row>
    <row r="52" spans="1:23">
      <c r="A52" s="38">
        <v>7620</v>
      </c>
      <c r="B52" s="38" t="s">
        <v>72</v>
      </c>
      <c r="C52" s="179">
        <v>43483</v>
      </c>
      <c r="D52" s="38">
        <v>245</v>
      </c>
      <c r="E52" s="38" t="s">
        <v>115</v>
      </c>
      <c r="F52" s="22">
        <v>144300</v>
      </c>
      <c r="G52" s="38" t="s">
        <v>129</v>
      </c>
      <c r="H52" s="179">
        <v>43856</v>
      </c>
      <c r="I52" s="38" t="s">
        <v>139</v>
      </c>
      <c r="J52" s="38" t="s">
        <v>376</v>
      </c>
      <c r="S52" s="20"/>
      <c r="U52" s="20"/>
      <c r="W52" s="20"/>
    </row>
    <row r="53" spans="1:23">
      <c r="A53" s="38">
        <v>7620</v>
      </c>
      <c r="B53" s="38" t="s">
        <v>72</v>
      </c>
      <c r="C53" s="179">
        <v>43482</v>
      </c>
      <c r="D53" s="38">
        <v>5</v>
      </c>
      <c r="E53" s="38" t="s">
        <v>113</v>
      </c>
      <c r="F53" s="22">
        <v>-166500</v>
      </c>
      <c r="G53" s="38" t="s">
        <v>137</v>
      </c>
      <c r="H53" s="179">
        <v>43544</v>
      </c>
      <c r="I53" s="38" t="s">
        <v>139</v>
      </c>
      <c r="J53" s="38" t="s">
        <v>376</v>
      </c>
      <c r="S53" s="20"/>
      <c r="U53" s="20"/>
      <c r="W53" s="20"/>
    </row>
    <row r="54" spans="1:23">
      <c r="A54" s="38">
        <v>7810</v>
      </c>
      <c r="B54" s="38" t="s">
        <v>76</v>
      </c>
      <c r="C54" s="179">
        <v>43482</v>
      </c>
      <c r="D54" s="38">
        <v>5</v>
      </c>
      <c r="E54" s="38" t="s">
        <v>113</v>
      </c>
      <c r="F54" s="22">
        <v>166500</v>
      </c>
      <c r="G54" s="38" t="s">
        <v>137</v>
      </c>
      <c r="H54" s="179">
        <v>43544</v>
      </c>
      <c r="I54" s="38" t="s">
        <v>141</v>
      </c>
      <c r="J54" s="38" t="s">
        <v>376</v>
      </c>
      <c r="S54" s="20"/>
      <c r="U54" s="20"/>
      <c r="W54" s="20"/>
    </row>
    <row r="55" spans="1:23">
      <c r="A55" s="38">
        <v>7810</v>
      </c>
      <c r="B55" s="38" t="s">
        <v>76</v>
      </c>
      <c r="C55" s="179">
        <v>43480</v>
      </c>
      <c r="D55" s="38">
        <v>6</v>
      </c>
      <c r="E55" s="38" t="s">
        <v>111</v>
      </c>
      <c r="F55" s="22">
        <v>-142040</v>
      </c>
      <c r="G55" s="38" t="s">
        <v>137</v>
      </c>
      <c r="H55" s="179">
        <v>43544</v>
      </c>
      <c r="I55" s="38" t="s">
        <v>141</v>
      </c>
      <c r="J55" s="38" t="s">
        <v>376</v>
      </c>
      <c r="S55" s="20"/>
      <c r="U55" s="20"/>
      <c r="W55" s="20"/>
    </row>
    <row r="56" spans="1:23">
      <c r="A56" s="38">
        <v>6200</v>
      </c>
      <c r="B56" s="38" t="s">
        <v>21</v>
      </c>
      <c r="C56" s="179">
        <v>43480</v>
      </c>
      <c r="D56" s="38">
        <v>6</v>
      </c>
      <c r="E56" s="38" t="s">
        <v>135</v>
      </c>
      <c r="F56" s="22">
        <v>339</v>
      </c>
      <c r="G56" s="38" t="s">
        <v>137</v>
      </c>
      <c r="H56" s="179">
        <v>43544</v>
      </c>
      <c r="I56" s="38" t="s">
        <v>378</v>
      </c>
      <c r="J56" s="38" t="s">
        <v>375</v>
      </c>
      <c r="S56" s="20"/>
      <c r="U56" s="20"/>
      <c r="W56" s="20"/>
    </row>
    <row r="57" spans="1:23">
      <c r="A57" s="38">
        <v>6200</v>
      </c>
      <c r="B57" s="38" t="s">
        <v>21</v>
      </c>
      <c r="C57" s="179">
        <v>43480</v>
      </c>
      <c r="D57" s="38">
        <v>6</v>
      </c>
      <c r="E57" s="38" t="s">
        <v>64</v>
      </c>
      <c r="F57" s="22">
        <v>723</v>
      </c>
      <c r="G57" s="38" t="s">
        <v>137</v>
      </c>
      <c r="H57" s="179">
        <v>43544</v>
      </c>
      <c r="I57" s="38" t="s">
        <v>378</v>
      </c>
      <c r="J57" s="38" t="s">
        <v>375</v>
      </c>
      <c r="S57" s="20"/>
      <c r="U57" s="20"/>
      <c r="W57" s="20"/>
    </row>
    <row r="58" spans="1:23">
      <c r="A58" s="38">
        <v>6200</v>
      </c>
      <c r="B58" s="38" t="s">
        <v>21</v>
      </c>
      <c r="C58" s="179">
        <v>43480</v>
      </c>
      <c r="D58" s="38">
        <v>6</v>
      </c>
      <c r="E58" s="38" t="s">
        <v>108</v>
      </c>
      <c r="F58" s="22">
        <v>751</v>
      </c>
      <c r="G58" s="38" t="s">
        <v>137</v>
      </c>
      <c r="H58" s="179">
        <v>43544</v>
      </c>
      <c r="I58" s="38" t="s">
        <v>378</v>
      </c>
      <c r="J58" s="38" t="s">
        <v>375</v>
      </c>
      <c r="S58" s="20"/>
      <c r="U58" s="20"/>
      <c r="W58" s="20"/>
    </row>
    <row r="59" spans="1:23">
      <c r="A59" s="38">
        <v>6200</v>
      </c>
      <c r="B59" s="38" t="s">
        <v>21</v>
      </c>
      <c r="C59" s="179">
        <v>43480</v>
      </c>
      <c r="D59" s="38">
        <v>6</v>
      </c>
      <c r="E59" s="38" t="s">
        <v>64</v>
      </c>
      <c r="F59" s="22">
        <v>849</v>
      </c>
      <c r="G59" s="38" t="s">
        <v>137</v>
      </c>
      <c r="H59" s="179">
        <v>43544</v>
      </c>
      <c r="I59" s="38" t="s">
        <v>378</v>
      </c>
      <c r="J59" s="38" t="s">
        <v>375</v>
      </c>
      <c r="S59" s="20"/>
      <c r="U59" s="20"/>
      <c r="W59" s="20"/>
    </row>
    <row r="60" spans="1:23">
      <c r="A60" s="38">
        <v>4581</v>
      </c>
      <c r="B60" s="38" t="s">
        <v>105</v>
      </c>
      <c r="C60" s="179">
        <v>43480</v>
      </c>
      <c r="D60" s="38">
        <v>6</v>
      </c>
      <c r="E60" s="38" t="s">
        <v>106</v>
      </c>
      <c r="F60" s="22">
        <v>5000</v>
      </c>
      <c r="G60" s="38" t="s">
        <v>137</v>
      </c>
      <c r="H60" s="179">
        <v>43544</v>
      </c>
      <c r="I60" s="38" t="s">
        <v>377</v>
      </c>
      <c r="J60" s="38" t="s">
        <v>375</v>
      </c>
      <c r="S60" s="20"/>
      <c r="U60" s="20"/>
      <c r="W60" s="20"/>
    </row>
    <row r="61" spans="1:23">
      <c r="A61" s="38">
        <v>9320</v>
      </c>
      <c r="B61" s="38" t="s">
        <v>82</v>
      </c>
      <c r="C61" s="179">
        <v>43480</v>
      </c>
      <c r="D61" s="38">
        <v>6</v>
      </c>
      <c r="E61" s="38" t="s">
        <v>64</v>
      </c>
      <c r="F61" s="22">
        <v>5011</v>
      </c>
      <c r="G61" s="38" t="s">
        <v>137</v>
      </c>
      <c r="H61" s="179">
        <v>43544</v>
      </c>
      <c r="I61" s="38" t="s">
        <v>142</v>
      </c>
      <c r="J61" s="38" t="s">
        <v>376</v>
      </c>
      <c r="S61" s="20"/>
      <c r="U61" s="20"/>
      <c r="W61" s="20"/>
    </row>
    <row r="62" spans="1:23">
      <c r="A62" s="38">
        <v>7620</v>
      </c>
      <c r="B62" s="38" t="s">
        <v>72</v>
      </c>
      <c r="C62" s="179">
        <v>43480</v>
      </c>
      <c r="D62" s="38">
        <v>6</v>
      </c>
      <c r="E62" s="38" t="s">
        <v>110</v>
      </c>
      <c r="F62" s="22">
        <v>5785</v>
      </c>
      <c r="G62" s="38" t="s">
        <v>137</v>
      </c>
      <c r="H62" s="179">
        <v>43544</v>
      </c>
      <c r="I62" s="38" t="s">
        <v>139</v>
      </c>
      <c r="J62" s="38" t="s">
        <v>376</v>
      </c>
      <c r="S62" s="20"/>
      <c r="U62" s="20"/>
      <c r="W62" s="20"/>
    </row>
    <row r="63" spans="1:23">
      <c r="A63" s="38">
        <v>7620</v>
      </c>
      <c r="B63" s="38" t="s">
        <v>72</v>
      </c>
      <c r="C63" s="179">
        <v>43480</v>
      </c>
      <c r="D63" s="38">
        <v>6</v>
      </c>
      <c r="E63" s="38" t="s">
        <v>110</v>
      </c>
      <c r="F63" s="22">
        <v>6018</v>
      </c>
      <c r="G63" s="38" t="s">
        <v>137</v>
      </c>
      <c r="H63" s="179">
        <v>43544</v>
      </c>
      <c r="I63" s="38" t="s">
        <v>139</v>
      </c>
      <c r="J63" s="38" t="s">
        <v>376</v>
      </c>
      <c r="S63" s="20"/>
      <c r="U63" s="20"/>
      <c r="W63" s="20"/>
    </row>
    <row r="64" spans="1:23">
      <c r="A64" s="38">
        <v>4581</v>
      </c>
      <c r="B64" s="38" t="s">
        <v>105</v>
      </c>
      <c r="C64" s="179">
        <v>43480</v>
      </c>
      <c r="D64" s="38">
        <v>6</v>
      </c>
      <c r="E64" s="38" t="s">
        <v>107</v>
      </c>
      <c r="F64" s="22">
        <v>6275</v>
      </c>
      <c r="G64" s="38" t="s">
        <v>137</v>
      </c>
      <c r="H64" s="179">
        <v>43544</v>
      </c>
      <c r="I64" s="38" t="s">
        <v>377</v>
      </c>
      <c r="J64" s="38" t="s">
        <v>375</v>
      </c>
      <c r="S64" s="20"/>
      <c r="U64" s="20"/>
      <c r="W64" s="20"/>
    </row>
    <row r="65" spans="1:23">
      <c r="A65" s="38">
        <v>9320</v>
      </c>
      <c r="B65" s="38" t="s">
        <v>82</v>
      </c>
      <c r="C65" s="179">
        <v>43480</v>
      </c>
      <c r="D65" s="38">
        <v>6</v>
      </c>
      <c r="E65" s="38" t="s">
        <v>135</v>
      </c>
      <c r="F65" s="22">
        <v>10925</v>
      </c>
      <c r="G65" s="38" t="s">
        <v>137</v>
      </c>
      <c r="H65" s="179">
        <v>43544</v>
      </c>
      <c r="I65" s="38" t="s">
        <v>142</v>
      </c>
      <c r="J65" s="38" t="s">
        <v>376</v>
      </c>
      <c r="S65" s="20"/>
      <c r="U65" s="20"/>
      <c r="W65" s="20"/>
    </row>
    <row r="66" spans="1:23">
      <c r="A66" s="38">
        <v>9320</v>
      </c>
      <c r="B66" s="38" t="s">
        <v>82</v>
      </c>
      <c r="C66" s="179">
        <v>43480</v>
      </c>
      <c r="D66" s="38">
        <v>6</v>
      </c>
      <c r="E66" s="38" t="s">
        <v>68</v>
      </c>
      <c r="F66" s="22">
        <v>11770</v>
      </c>
      <c r="G66" s="38" t="s">
        <v>137</v>
      </c>
      <c r="H66" s="179">
        <v>43544</v>
      </c>
      <c r="I66" s="38" t="s">
        <v>142</v>
      </c>
      <c r="J66" s="38" t="s">
        <v>376</v>
      </c>
      <c r="S66" s="20"/>
      <c r="U66" s="20"/>
      <c r="W66" s="20"/>
    </row>
    <row r="67" spans="1:23">
      <c r="A67" s="38">
        <v>6200</v>
      </c>
      <c r="B67" s="38" t="s">
        <v>21</v>
      </c>
      <c r="C67" s="179">
        <v>43480</v>
      </c>
      <c r="D67" s="38">
        <v>6</v>
      </c>
      <c r="E67" s="38" t="s">
        <v>109</v>
      </c>
      <c r="F67" s="22">
        <v>11974</v>
      </c>
      <c r="G67" s="38" t="s">
        <v>137</v>
      </c>
      <c r="H67" s="179">
        <v>43544</v>
      </c>
      <c r="I67" s="38" t="s">
        <v>378</v>
      </c>
      <c r="J67" s="38" t="s">
        <v>375</v>
      </c>
      <c r="S67" s="20"/>
      <c r="U67" s="20"/>
      <c r="W67" s="20"/>
    </row>
    <row r="68" spans="1:23">
      <c r="A68" s="38">
        <v>9320</v>
      </c>
      <c r="B68" s="38" t="s">
        <v>82</v>
      </c>
      <c r="C68" s="179">
        <v>43480</v>
      </c>
      <c r="D68" s="38">
        <v>6</v>
      </c>
      <c r="E68" s="38" t="s">
        <v>64</v>
      </c>
      <c r="F68" s="22">
        <v>24290</v>
      </c>
      <c r="G68" s="38" t="s">
        <v>137</v>
      </c>
      <c r="H68" s="179">
        <v>43544</v>
      </c>
      <c r="I68" s="38" t="s">
        <v>142</v>
      </c>
      <c r="J68" s="38" t="s">
        <v>376</v>
      </c>
      <c r="S68" s="20"/>
      <c r="U68" s="20"/>
      <c r="W68" s="20"/>
    </row>
    <row r="69" spans="1:23">
      <c r="A69" s="38">
        <v>9630</v>
      </c>
      <c r="B69" s="38" t="s">
        <v>112</v>
      </c>
      <c r="C69" s="179">
        <v>43480</v>
      </c>
      <c r="D69" s="38">
        <v>6</v>
      </c>
      <c r="E69" s="38" t="s">
        <v>108</v>
      </c>
      <c r="F69" s="22">
        <v>52330</v>
      </c>
      <c r="G69" s="38" t="s">
        <v>137</v>
      </c>
      <c r="H69" s="179">
        <v>43544</v>
      </c>
      <c r="I69" s="38" t="s">
        <v>143</v>
      </c>
      <c r="J69" s="38" t="s">
        <v>376</v>
      </c>
      <c r="S69" s="20"/>
      <c r="U69" s="20"/>
      <c r="W69" s="20"/>
    </row>
    <row r="70" spans="1:23">
      <c r="A70" s="38">
        <v>7620</v>
      </c>
      <c r="B70" s="38" t="s">
        <v>72</v>
      </c>
      <c r="C70" s="179">
        <v>43479</v>
      </c>
      <c r="D70" s="38">
        <v>8</v>
      </c>
      <c r="E70" s="38" t="s">
        <v>104</v>
      </c>
      <c r="F70" s="22">
        <v>-293396</v>
      </c>
      <c r="G70" s="38" t="s">
        <v>137</v>
      </c>
      <c r="H70" s="179">
        <v>43544</v>
      </c>
      <c r="I70" s="38" t="s">
        <v>139</v>
      </c>
      <c r="J70" s="38" t="s">
        <v>376</v>
      </c>
      <c r="S70" s="20"/>
      <c r="U70" s="20"/>
      <c r="W70" s="20"/>
    </row>
    <row r="71" spans="1:23">
      <c r="A71" s="38">
        <v>7840</v>
      </c>
      <c r="B71" s="38" t="s">
        <v>78</v>
      </c>
      <c r="C71" s="179">
        <v>43479</v>
      </c>
      <c r="D71" s="38">
        <v>9</v>
      </c>
      <c r="E71" s="38" t="s">
        <v>104</v>
      </c>
      <c r="F71" s="22">
        <v>-701</v>
      </c>
      <c r="G71" s="38" t="s">
        <v>137</v>
      </c>
      <c r="H71" s="179">
        <v>43544</v>
      </c>
      <c r="I71" s="38" t="s">
        <v>141</v>
      </c>
      <c r="J71" s="38" t="s">
        <v>376</v>
      </c>
      <c r="S71" s="20"/>
      <c r="U71" s="20"/>
      <c r="W71" s="20"/>
    </row>
    <row r="72" spans="1:23">
      <c r="A72" s="38">
        <v>4650</v>
      </c>
      <c r="B72" s="38" t="s">
        <v>87</v>
      </c>
      <c r="C72" s="179">
        <v>43479</v>
      </c>
      <c r="D72" s="38">
        <v>9</v>
      </c>
      <c r="E72" s="38" t="s">
        <v>104</v>
      </c>
      <c r="F72" s="22">
        <v>701</v>
      </c>
      <c r="G72" s="38" t="s">
        <v>137</v>
      </c>
      <c r="H72" s="179">
        <v>43544</v>
      </c>
      <c r="I72" s="38" t="s">
        <v>377</v>
      </c>
      <c r="J72" s="38" t="s">
        <v>375</v>
      </c>
      <c r="S72" s="20"/>
      <c r="U72" s="20"/>
      <c r="W72" s="20"/>
    </row>
    <row r="73" spans="1:23">
      <c r="A73" s="38">
        <v>7840</v>
      </c>
      <c r="B73" s="38" t="s">
        <v>78</v>
      </c>
      <c r="C73" s="179">
        <v>43479</v>
      </c>
      <c r="D73" s="38">
        <v>8</v>
      </c>
      <c r="E73" s="38" t="s">
        <v>104</v>
      </c>
      <c r="F73" s="22">
        <v>293396</v>
      </c>
      <c r="G73" s="38" t="s">
        <v>137</v>
      </c>
      <c r="H73" s="179">
        <v>43544</v>
      </c>
      <c r="I73" s="38" t="s">
        <v>141</v>
      </c>
      <c r="J73" s="38" t="s">
        <v>376</v>
      </c>
      <c r="S73" s="20"/>
      <c r="U73" s="20"/>
      <c r="W73" s="20"/>
    </row>
    <row r="74" spans="1:23">
      <c r="A74" s="38">
        <v>1111</v>
      </c>
      <c r="B74" s="38" t="s">
        <v>96</v>
      </c>
      <c r="C74" s="179">
        <v>43477</v>
      </c>
      <c r="D74" s="38">
        <v>243</v>
      </c>
      <c r="E74" s="38" t="s">
        <v>55</v>
      </c>
      <c r="F74" s="22">
        <v>-283360</v>
      </c>
      <c r="G74" s="38" t="s">
        <v>129</v>
      </c>
      <c r="H74" s="179">
        <v>43477</v>
      </c>
      <c r="I74" s="38" t="s">
        <v>9</v>
      </c>
      <c r="J74" s="38" t="s">
        <v>375</v>
      </c>
      <c r="S74" s="20"/>
      <c r="U74" s="20"/>
      <c r="W74" s="20"/>
    </row>
    <row r="75" spans="1:23">
      <c r="A75" s="38">
        <v>9533</v>
      </c>
      <c r="B75" s="38" t="s">
        <v>98</v>
      </c>
      <c r="C75" s="179">
        <v>43477</v>
      </c>
      <c r="D75" s="38">
        <v>243</v>
      </c>
      <c r="E75" s="38" t="s">
        <v>452</v>
      </c>
      <c r="F75" s="22">
        <v>-31170</v>
      </c>
      <c r="G75" s="38" t="s">
        <v>129</v>
      </c>
      <c r="H75" s="179">
        <v>43477</v>
      </c>
      <c r="I75" s="38" t="s">
        <v>143</v>
      </c>
      <c r="J75" s="38" t="s">
        <v>376</v>
      </c>
      <c r="S75" s="20"/>
      <c r="U75" s="20"/>
      <c r="W75" s="20"/>
    </row>
    <row r="76" spans="1:23">
      <c r="A76" s="38">
        <v>4330</v>
      </c>
      <c r="B76" s="38" t="s">
        <v>99</v>
      </c>
      <c r="C76" s="179">
        <v>43477</v>
      </c>
      <c r="D76" s="38">
        <v>225</v>
      </c>
      <c r="E76" s="38" t="s">
        <v>101</v>
      </c>
      <c r="F76" s="22">
        <v>-12563</v>
      </c>
      <c r="G76" s="38" t="s">
        <v>137</v>
      </c>
      <c r="H76" s="179">
        <v>43723</v>
      </c>
      <c r="I76" s="38" t="s">
        <v>377</v>
      </c>
      <c r="J76" s="38" t="s">
        <v>375</v>
      </c>
      <c r="S76" s="20"/>
      <c r="U76" s="20"/>
      <c r="W76" s="20"/>
    </row>
    <row r="77" spans="1:23">
      <c r="A77" s="38">
        <v>7810</v>
      </c>
      <c r="B77" s="38" t="s">
        <v>76</v>
      </c>
      <c r="C77" s="179">
        <v>43477</v>
      </c>
      <c r="D77" s="38">
        <v>48</v>
      </c>
      <c r="E77" s="38" t="s">
        <v>100</v>
      </c>
      <c r="F77" s="22">
        <v>-12563</v>
      </c>
      <c r="G77" s="38" t="s">
        <v>137</v>
      </c>
      <c r="H77" s="179">
        <v>43549</v>
      </c>
      <c r="I77" s="38" t="s">
        <v>141</v>
      </c>
      <c r="J77" s="38" t="s">
        <v>376</v>
      </c>
      <c r="S77" s="20"/>
      <c r="U77" s="20"/>
      <c r="W77" s="20"/>
    </row>
    <row r="78" spans="1:23">
      <c r="A78" s="38">
        <v>7810</v>
      </c>
      <c r="B78" s="38" t="s">
        <v>76</v>
      </c>
      <c r="C78" s="179">
        <v>43477</v>
      </c>
      <c r="D78" s="38">
        <v>178</v>
      </c>
      <c r="E78" s="38" t="s">
        <v>100</v>
      </c>
      <c r="F78" s="22">
        <v>-12563</v>
      </c>
      <c r="G78" s="38" t="s">
        <v>137</v>
      </c>
      <c r="H78" s="179">
        <v>43723</v>
      </c>
      <c r="I78" s="38" t="s">
        <v>141</v>
      </c>
      <c r="J78" s="38" t="s">
        <v>376</v>
      </c>
      <c r="S78" s="20"/>
      <c r="U78" s="20"/>
      <c r="W78" s="20"/>
    </row>
    <row r="79" spans="1:23">
      <c r="A79" s="38">
        <v>7810</v>
      </c>
      <c r="B79" s="38" t="s">
        <v>76</v>
      </c>
      <c r="C79" s="179">
        <v>43477</v>
      </c>
      <c r="D79" s="38">
        <v>49</v>
      </c>
      <c r="E79" s="38" t="s">
        <v>100</v>
      </c>
      <c r="F79" s="22">
        <v>-10311</v>
      </c>
      <c r="G79" s="38" t="s">
        <v>137</v>
      </c>
      <c r="H79" s="179">
        <v>43549</v>
      </c>
      <c r="I79" s="38" t="s">
        <v>141</v>
      </c>
      <c r="J79" s="38" t="s">
        <v>376</v>
      </c>
      <c r="S79" s="20"/>
      <c r="U79" s="20"/>
      <c r="W79" s="20"/>
    </row>
    <row r="80" spans="1:23">
      <c r="A80" s="38">
        <v>4650</v>
      </c>
      <c r="B80" s="38" t="s">
        <v>87</v>
      </c>
      <c r="C80" s="179">
        <v>43477</v>
      </c>
      <c r="D80" s="38">
        <v>226</v>
      </c>
      <c r="E80" s="38" t="s">
        <v>103</v>
      </c>
      <c r="F80" s="22">
        <v>-559</v>
      </c>
      <c r="G80" s="38" t="s">
        <v>137</v>
      </c>
      <c r="H80" s="179">
        <v>43723</v>
      </c>
      <c r="I80" s="38" t="s">
        <v>377</v>
      </c>
      <c r="J80" s="38" t="s">
        <v>375</v>
      </c>
      <c r="S80" s="20"/>
      <c r="U80" s="20"/>
      <c r="W80" s="20"/>
    </row>
    <row r="81" spans="1:23">
      <c r="A81" s="38">
        <v>7810</v>
      </c>
      <c r="B81" s="38" t="s">
        <v>76</v>
      </c>
      <c r="C81" s="179">
        <v>43477</v>
      </c>
      <c r="D81" s="38">
        <v>187</v>
      </c>
      <c r="E81" s="38" t="s">
        <v>102</v>
      </c>
      <c r="F81" s="22">
        <v>-559</v>
      </c>
      <c r="G81" s="38" t="s">
        <v>137</v>
      </c>
      <c r="H81" s="179">
        <v>43723</v>
      </c>
      <c r="I81" s="38" t="s">
        <v>141</v>
      </c>
      <c r="J81" s="38" t="s">
        <v>376</v>
      </c>
      <c r="S81" s="20"/>
      <c r="U81" s="20"/>
      <c r="W81" s="20"/>
    </row>
    <row r="82" spans="1:23">
      <c r="A82" s="38">
        <v>4650</v>
      </c>
      <c r="B82" s="38" t="s">
        <v>87</v>
      </c>
      <c r="C82" s="179">
        <v>43477</v>
      </c>
      <c r="D82" s="38">
        <v>187</v>
      </c>
      <c r="E82" s="38" t="s">
        <v>102</v>
      </c>
      <c r="F82" s="22">
        <v>559</v>
      </c>
      <c r="G82" s="38" t="s">
        <v>137</v>
      </c>
      <c r="H82" s="179">
        <v>43723</v>
      </c>
      <c r="I82" s="38" t="s">
        <v>377</v>
      </c>
      <c r="J82" s="38" t="s">
        <v>375</v>
      </c>
      <c r="S82" s="20"/>
      <c r="U82" s="20"/>
      <c r="W82" s="20"/>
    </row>
    <row r="83" spans="1:23">
      <c r="A83" s="38">
        <v>7810</v>
      </c>
      <c r="B83" s="38" t="s">
        <v>76</v>
      </c>
      <c r="C83" s="179">
        <v>43477</v>
      </c>
      <c r="D83" s="38">
        <v>226</v>
      </c>
      <c r="E83" s="38" t="s">
        <v>103</v>
      </c>
      <c r="F83" s="22">
        <v>559</v>
      </c>
      <c r="G83" s="38" t="s">
        <v>137</v>
      </c>
      <c r="H83" s="179">
        <v>43723</v>
      </c>
      <c r="I83" s="38" t="s">
        <v>141</v>
      </c>
      <c r="J83" s="38" t="s">
        <v>376</v>
      </c>
      <c r="S83" s="20"/>
      <c r="U83" s="20"/>
      <c r="W83" s="20"/>
    </row>
    <row r="84" spans="1:23">
      <c r="A84" s="38">
        <v>4330</v>
      </c>
      <c r="B84" s="38" t="s">
        <v>99</v>
      </c>
      <c r="C84" s="179">
        <v>43477</v>
      </c>
      <c r="D84" s="38">
        <v>49</v>
      </c>
      <c r="E84" s="38" t="s">
        <v>100</v>
      </c>
      <c r="F84" s="22">
        <v>10311</v>
      </c>
      <c r="G84" s="38" t="s">
        <v>137</v>
      </c>
      <c r="H84" s="179">
        <v>43549</v>
      </c>
      <c r="I84" s="38" t="s">
        <v>377</v>
      </c>
      <c r="J84" s="38" t="s">
        <v>375</v>
      </c>
      <c r="S84" s="20"/>
      <c r="U84" s="20"/>
      <c r="W84" s="20"/>
    </row>
    <row r="85" spans="1:23">
      <c r="A85" s="38">
        <v>4330</v>
      </c>
      <c r="B85" s="38" t="s">
        <v>99</v>
      </c>
      <c r="C85" s="179">
        <v>43477</v>
      </c>
      <c r="D85" s="38">
        <v>48</v>
      </c>
      <c r="E85" s="38" t="s">
        <v>100</v>
      </c>
      <c r="F85" s="22">
        <v>12563</v>
      </c>
      <c r="G85" s="38" t="s">
        <v>137</v>
      </c>
      <c r="H85" s="179">
        <v>43549</v>
      </c>
      <c r="I85" s="38" t="s">
        <v>377</v>
      </c>
      <c r="J85" s="38" t="s">
        <v>375</v>
      </c>
      <c r="S85" s="20"/>
      <c r="U85" s="20"/>
      <c r="W85" s="20"/>
    </row>
    <row r="86" spans="1:23">
      <c r="A86" s="38">
        <v>4330</v>
      </c>
      <c r="B86" s="38" t="s">
        <v>99</v>
      </c>
      <c r="C86" s="179">
        <v>43477</v>
      </c>
      <c r="D86" s="38">
        <v>178</v>
      </c>
      <c r="E86" s="38" t="s">
        <v>100</v>
      </c>
      <c r="F86" s="22">
        <v>12563</v>
      </c>
      <c r="G86" s="38" t="s">
        <v>137</v>
      </c>
      <c r="H86" s="179">
        <v>43723</v>
      </c>
      <c r="I86" s="38" t="s">
        <v>377</v>
      </c>
      <c r="J86" s="38" t="s">
        <v>375</v>
      </c>
      <c r="S86" s="20"/>
      <c r="U86" s="20"/>
      <c r="W86" s="20"/>
    </row>
    <row r="87" spans="1:23">
      <c r="A87" s="38">
        <v>7810</v>
      </c>
      <c r="B87" s="38" t="s">
        <v>76</v>
      </c>
      <c r="C87" s="179">
        <v>43477</v>
      </c>
      <c r="D87" s="38">
        <v>225</v>
      </c>
      <c r="E87" s="38" t="s">
        <v>101</v>
      </c>
      <c r="F87" s="22">
        <v>12563</v>
      </c>
      <c r="G87" s="38" t="s">
        <v>137</v>
      </c>
      <c r="H87" s="179">
        <v>43723</v>
      </c>
      <c r="I87" s="38" t="s">
        <v>141</v>
      </c>
      <c r="J87" s="38" t="s">
        <v>376</v>
      </c>
      <c r="S87" s="20"/>
      <c r="U87" s="20"/>
      <c r="W87" s="20"/>
    </row>
    <row r="88" spans="1:23">
      <c r="A88" s="38">
        <v>7620</v>
      </c>
      <c r="B88" s="38" t="s">
        <v>72</v>
      </c>
      <c r="C88" s="179">
        <v>43477</v>
      </c>
      <c r="D88" s="38">
        <v>243</v>
      </c>
      <c r="E88" s="38" t="s">
        <v>452</v>
      </c>
      <c r="F88" s="22">
        <v>314530</v>
      </c>
      <c r="G88" s="38" t="s">
        <v>129</v>
      </c>
      <c r="H88" s="179">
        <v>43477</v>
      </c>
      <c r="I88" s="38" t="s">
        <v>139</v>
      </c>
      <c r="J88" s="38" t="s">
        <v>376</v>
      </c>
      <c r="S88" s="20"/>
      <c r="U88" s="20"/>
      <c r="W88" s="20"/>
    </row>
    <row r="89" spans="1:23">
      <c r="A89" s="38">
        <v>1111</v>
      </c>
      <c r="B89" s="38" t="s">
        <v>96</v>
      </c>
      <c r="C89" s="179">
        <v>43474</v>
      </c>
      <c r="D89" s="38">
        <v>244</v>
      </c>
      <c r="E89" s="38" t="s">
        <v>55</v>
      </c>
      <c r="F89" s="22">
        <v>-150000</v>
      </c>
      <c r="G89" s="38" t="s">
        <v>129</v>
      </c>
      <c r="H89" s="179">
        <v>43480</v>
      </c>
      <c r="I89" s="38" t="s">
        <v>9</v>
      </c>
      <c r="J89" s="38" t="s">
        <v>375</v>
      </c>
      <c r="S89" s="20"/>
      <c r="U89" s="20"/>
      <c r="W89" s="20"/>
    </row>
    <row r="90" spans="1:23">
      <c r="A90" s="38">
        <v>9533</v>
      </c>
      <c r="B90" s="38" t="s">
        <v>98</v>
      </c>
      <c r="C90" s="179">
        <v>43474</v>
      </c>
      <c r="D90" s="38">
        <v>244</v>
      </c>
      <c r="E90" s="38" t="s">
        <v>97</v>
      </c>
      <c r="F90" s="22">
        <v>-16500</v>
      </c>
      <c r="G90" s="38" t="s">
        <v>129</v>
      </c>
      <c r="H90" s="179">
        <v>43480</v>
      </c>
      <c r="I90" s="38" t="s">
        <v>143</v>
      </c>
      <c r="J90" s="38" t="s">
        <v>376</v>
      </c>
      <c r="S90" s="20"/>
      <c r="U90" s="20"/>
      <c r="W90" s="20"/>
    </row>
    <row r="91" spans="1:23">
      <c r="A91" s="38">
        <v>7620</v>
      </c>
      <c r="B91" s="38" t="s">
        <v>72</v>
      </c>
      <c r="C91" s="179">
        <v>43474</v>
      </c>
      <c r="D91" s="38">
        <v>244</v>
      </c>
      <c r="E91" s="38" t="s">
        <v>97</v>
      </c>
      <c r="F91" s="22">
        <v>166500</v>
      </c>
      <c r="G91" s="38" t="s">
        <v>129</v>
      </c>
      <c r="H91" s="179">
        <v>43480</v>
      </c>
      <c r="I91" s="38" t="s">
        <v>139</v>
      </c>
      <c r="J91" s="38" t="s">
        <v>376</v>
      </c>
      <c r="S91" s="20"/>
      <c r="U91" s="20"/>
      <c r="W91" s="20"/>
    </row>
    <row r="92" spans="1:23">
      <c r="A92" s="38">
        <v>7810</v>
      </c>
      <c r="B92" s="38" t="s">
        <v>76</v>
      </c>
      <c r="C92" s="179">
        <v>43473</v>
      </c>
      <c r="D92" s="38">
        <v>44</v>
      </c>
      <c r="E92" s="38" t="s">
        <v>95</v>
      </c>
      <c r="F92" s="22">
        <v>-443990</v>
      </c>
      <c r="G92" s="38" t="s">
        <v>137</v>
      </c>
      <c r="H92" s="179">
        <v>43549</v>
      </c>
      <c r="I92" s="38" t="s">
        <v>141</v>
      </c>
      <c r="J92" s="38" t="s">
        <v>376</v>
      </c>
      <c r="S92" s="20"/>
      <c r="U92" s="20"/>
      <c r="W92" s="20"/>
    </row>
    <row r="93" spans="1:23">
      <c r="A93" s="38">
        <v>9320</v>
      </c>
      <c r="B93" s="38" t="s">
        <v>82</v>
      </c>
      <c r="C93" s="179">
        <v>43473</v>
      </c>
      <c r="D93" s="38">
        <v>44</v>
      </c>
      <c r="E93" s="38" t="s">
        <v>95</v>
      </c>
      <c r="F93" s="22">
        <v>443990</v>
      </c>
      <c r="G93" s="38" t="s">
        <v>137</v>
      </c>
      <c r="H93" s="179">
        <v>43549</v>
      </c>
      <c r="I93" s="38" t="s">
        <v>142</v>
      </c>
      <c r="J93" s="38" t="s">
        <v>376</v>
      </c>
      <c r="S93" s="20"/>
      <c r="U93" s="20"/>
      <c r="W93" s="20"/>
    </row>
    <row r="94" spans="1:23">
      <c r="A94" s="38">
        <v>1200</v>
      </c>
      <c r="B94" s="38" t="s">
        <v>138</v>
      </c>
      <c r="C94" s="179">
        <v>43472</v>
      </c>
      <c r="D94" s="38">
        <v>242</v>
      </c>
      <c r="E94" s="38" t="s">
        <v>55</v>
      </c>
      <c r="F94" s="22">
        <v>-7513410</v>
      </c>
      <c r="G94" s="38" t="s">
        <v>129</v>
      </c>
      <c r="H94" s="179">
        <v>43472</v>
      </c>
      <c r="I94" s="38" t="s">
        <v>9</v>
      </c>
      <c r="J94" s="38" t="s">
        <v>375</v>
      </c>
      <c r="S94" s="20"/>
      <c r="U94" s="20"/>
      <c r="W94" s="20"/>
    </row>
    <row r="95" spans="1:23">
      <c r="A95" s="38">
        <v>7810</v>
      </c>
      <c r="B95" s="38" t="s">
        <v>76</v>
      </c>
      <c r="C95" s="179">
        <v>43472</v>
      </c>
      <c r="D95" s="38">
        <v>2</v>
      </c>
      <c r="E95" s="38" t="s">
        <v>94</v>
      </c>
      <c r="F95" s="22">
        <v>-500000</v>
      </c>
      <c r="G95" s="38" t="s">
        <v>137</v>
      </c>
      <c r="H95" s="179">
        <v>43544</v>
      </c>
      <c r="I95" s="38" t="s">
        <v>141</v>
      </c>
      <c r="J95" s="38" t="s">
        <v>376</v>
      </c>
      <c r="S95" s="20"/>
      <c r="U95" s="20"/>
      <c r="W95" s="20"/>
    </row>
    <row r="96" spans="1:23">
      <c r="A96" s="38">
        <v>7810</v>
      </c>
      <c r="B96" s="38" t="s">
        <v>76</v>
      </c>
      <c r="C96" s="179">
        <v>43472</v>
      </c>
      <c r="D96" s="38">
        <v>1</v>
      </c>
      <c r="E96" s="38" t="s">
        <v>93</v>
      </c>
      <c r="F96" s="22">
        <v>-74000</v>
      </c>
      <c r="G96" s="38" t="s">
        <v>137</v>
      </c>
      <c r="H96" s="179">
        <v>43544</v>
      </c>
      <c r="I96" s="38" t="s">
        <v>141</v>
      </c>
      <c r="J96" s="38" t="s">
        <v>376</v>
      </c>
      <c r="S96" s="20"/>
      <c r="U96" s="20"/>
      <c r="W96" s="20"/>
    </row>
    <row r="97" spans="1:23">
      <c r="A97" s="38">
        <v>6120</v>
      </c>
      <c r="B97" s="38" t="s">
        <v>45</v>
      </c>
      <c r="C97" s="179">
        <v>43472</v>
      </c>
      <c r="D97" s="38">
        <v>242</v>
      </c>
      <c r="E97" s="38" t="s">
        <v>55</v>
      </c>
      <c r="F97" s="22">
        <v>1</v>
      </c>
      <c r="G97" s="38" t="s">
        <v>129</v>
      </c>
      <c r="H97" s="179">
        <v>43472</v>
      </c>
      <c r="I97" s="38" t="s">
        <v>378</v>
      </c>
      <c r="J97" s="38" t="s">
        <v>375</v>
      </c>
      <c r="S97" s="20"/>
      <c r="U97" s="20"/>
      <c r="W97" s="20"/>
    </row>
    <row r="98" spans="1:23">
      <c r="A98" s="38">
        <v>7620</v>
      </c>
      <c r="B98" s="38" t="s">
        <v>72</v>
      </c>
      <c r="C98" s="179">
        <v>43472</v>
      </c>
      <c r="D98" s="38">
        <v>1</v>
      </c>
      <c r="E98" s="38" t="s">
        <v>93</v>
      </c>
      <c r="F98" s="22">
        <v>74000</v>
      </c>
      <c r="G98" s="38" t="s">
        <v>137</v>
      </c>
      <c r="H98" s="179">
        <v>43544</v>
      </c>
      <c r="I98" s="38" t="s">
        <v>139</v>
      </c>
      <c r="J98" s="38" t="s">
        <v>376</v>
      </c>
      <c r="S98" s="20"/>
      <c r="U98" s="20"/>
      <c r="W98" s="20"/>
    </row>
    <row r="99" spans="1:23">
      <c r="A99" s="38">
        <v>2137</v>
      </c>
      <c r="B99" s="38" t="s">
        <v>369</v>
      </c>
      <c r="C99" s="179">
        <v>43472</v>
      </c>
      <c r="D99" s="38">
        <v>242</v>
      </c>
      <c r="E99" s="38" t="s">
        <v>55</v>
      </c>
      <c r="F99" s="22">
        <v>294046</v>
      </c>
      <c r="G99" s="38" t="s">
        <v>129</v>
      </c>
      <c r="H99" s="179">
        <v>43472</v>
      </c>
      <c r="I99" s="38" t="s">
        <v>13</v>
      </c>
      <c r="J99" s="38" t="s">
        <v>375</v>
      </c>
      <c r="S99" s="20"/>
      <c r="U99" s="20"/>
      <c r="W99" s="20"/>
    </row>
    <row r="100" spans="1:23">
      <c r="A100" s="38">
        <v>7620</v>
      </c>
      <c r="B100" s="38" t="s">
        <v>72</v>
      </c>
      <c r="C100" s="179">
        <v>43472</v>
      </c>
      <c r="D100" s="38">
        <v>242</v>
      </c>
      <c r="E100" s="38" t="s">
        <v>92</v>
      </c>
      <c r="F100" s="22">
        <v>294046</v>
      </c>
      <c r="G100" s="38" t="s">
        <v>129</v>
      </c>
      <c r="H100" s="179">
        <v>43472</v>
      </c>
      <c r="I100" s="38" t="s">
        <v>139</v>
      </c>
      <c r="J100" s="38" t="s">
        <v>376</v>
      </c>
      <c r="S100" s="20"/>
      <c r="U100" s="20"/>
      <c r="W100" s="20"/>
    </row>
    <row r="101" spans="1:23">
      <c r="A101" s="38">
        <v>9320</v>
      </c>
      <c r="B101" s="38" t="s">
        <v>82</v>
      </c>
      <c r="C101" s="179">
        <v>43472</v>
      </c>
      <c r="D101" s="38">
        <v>2</v>
      </c>
      <c r="E101" s="38" t="s">
        <v>94</v>
      </c>
      <c r="F101" s="22">
        <v>500000</v>
      </c>
      <c r="G101" s="38" t="s">
        <v>137</v>
      </c>
      <c r="H101" s="179">
        <v>43544</v>
      </c>
      <c r="I101" s="38" t="s">
        <v>142</v>
      </c>
      <c r="J101" s="38" t="s">
        <v>376</v>
      </c>
      <c r="S101" s="20"/>
      <c r="U101" s="20"/>
      <c r="W101" s="20"/>
    </row>
    <row r="102" spans="1:23">
      <c r="A102" s="38">
        <v>2135</v>
      </c>
      <c r="B102" s="38" t="s">
        <v>370</v>
      </c>
      <c r="C102" s="179">
        <v>43472</v>
      </c>
      <c r="D102" s="38">
        <v>242</v>
      </c>
      <c r="E102" s="38" t="s">
        <v>55</v>
      </c>
      <c r="F102" s="22">
        <v>6925317</v>
      </c>
      <c r="G102" s="38" t="s">
        <v>129</v>
      </c>
      <c r="H102" s="179">
        <v>43472</v>
      </c>
      <c r="I102" s="38" t="s">
        <v>13</v>
      </c>
      <c r="J102" s="38" t="s">
        <v>375</v>
      </c>
      <c r="S102" s="20"/>
      <c r="U102" s="20"/>
      <c r="W102" s="20"/>
    </row>
    <row r="103" spans="1:23">
      <c r="A103" s="38">
        <v>7620</v>
      </c>
      <c r="B103" s="38" t="s">
        <v>72</v>
      </c>
      <c r="C103" s="179">
        <v>43471</v>
      </c>
      <c r="D103" s="38">
        <v>4</v>
      </c>
      <c r="E103" s="38" t="s">
        <v>133</v>
      </c>
      <c r="F103" s="22">
        <v>-1000000</v>
      </c>
      <c r="G103" s="38" t="s">
        <v>137</v>
      </c>
      <c r="H103" s="179">
        <v>43544</v>
      </c>
      <c r="I103" s="38" t="s">
        <v>139</v>
      </c>
      <c r="J103" s="38" t="s">
        <v>376</v>
      </c>
      <c r="S103" s="20"/>
      <c r="U103" s="20"/>
      <c r="W103" s="20"/>
    </row>
    <row r="104" spans="1:23">
      <c r="A104" s="38">
        <v>7810</v>
      </c>
      <c r="B104" s="38" t="s">
        <v>76</v>
      </c>
      <c r="C104" s="179">
        <v>43471</v>
      </c>
      <c r="D104" s="38">
        <v>46</v>
      </c>
      <c r="E104" s="38" t="s">
        <v>89</v>
      </c>
      <c r="F104" s="22">
        <v>-153117</v>
      </c>
      <c r="G104" s="38" t="s">
        <v>137</v>
      </c>
      <c r="H104" s="179">
        <v>43549</v>
      </c>
      <c r="I104" s="38" t="s">
        <v>141</v>
      </c>
      <c r="J104" s="38" t="s">
        <v>376</v>
      </c>
      <c r="S104" s="20"/>
      <c r="U104" s="20"/>
      <c r="W104" s="20"/>
    </row>
    <row r="105" spans="1:23">
      <c r="A105" s="38">
        <v>7810</v>
      </c>
      <c r="B105" s="38" t="s">
        <v>76</v>
      </c>
      <c r="C105" s="179">
        <v>43471</v>
      </c>
      <c r="D105" s="38">
        <v>204</v>
      </c>
      <c r="E105" s="38" t="s">
        <v>90</v>
      </c>
      <c r="F105" s="22">
        <v>-153117</v>
      </c>
      <c r="G105" s="38" t="s">
        <v>137</v>
      </c>
      <c r="H105" s="179">
        <v>43723</v>
      </c>
      <c r="I105" s="38" t="s">
        <v>141</v>
      </c>
      <c r="J105" s="38" t="s">
        <v>376</v>
      </c>
      <c r="S105" s="20"/>
      <c r="U105" s="20"/>
      <c r="W105" s="20"/>
    </row>
    <row r="106" spans="1:23">
      <c r="A106" s="38">
        <v>9325</v>
      </c>
      <c r="B106" s="38" t="s">
        <v>83</v>
      </c>
      <c r="C106" s="179">
        <v>43471</v>
      </c>
      <c r="D106" s="38">
        <v>224</v>
      </c>
      <c r="E106" s="38" t="s">
        <v>91</v>
      </c>
      <c r="F106" s="22">
        <v>-153117</v>
      </c>
      <c r="G106" s="38" t="s">
        <v>137</v>
      </c>
      <c r="H106" s="179">
        <v>43723</v>
      </c>
      <c r="I106" s="38" t="s">
        <v>143</v>
      </c>
      <c r="J106" s="38" t="s">
        <v>376</v>
      </c>
      <c r="S106" s="20"/>
      <c r="U106" s="20"/>
      <c r="W106" s="20"/>
    </row>
    <row r="107" spans="1:23">
      <c r="A107" s="38">
        <v>7810</v>
      </c>
      <c r="B107" s="38" t="s">
        <v>76</v>
      </c>
      <c r="C107" s="179">
        <v>43471</v>
      </c>
      <c r="D107" s="38">
        <v>47</v>
      </c>
      <c r="E107" s="38" t="s">
        <v>88</v>
      </c>
      <c r="F107" s="22">
        <v>-559</v>
      </c>
      <c r="G107" s="38" t="s">
        <v>137</v>
      </c>
      <c r="H107" s="179">
        <v>43549</v>
      </c>
      <c r="I107" s="38" t="s">
        <v>141</v>
      </c>
      <c r="J107" s="38" t="s">
        <v>376</v>
      </c>
      <c r="S107" s="20"/>
      <c r="U107" s="20"/>
      <c r="W107" s="20"/>
    </row>
    <row r="108" spans="1:23">
      <c r="A108" s="38">
        <v>4650</v>
      </c>
      <c r="B108" s="38" t="s">
        <v>87</v>
      </c>
      <c r="C108" s="179">
        <v>43471</v>
      </c>
      <c r="D108" s="38">
        <v>47</v>
      </c>
      <c r="E108" s="38" t="s">
        <v>88</v>
      </c>
      <c r="F108" s="22">
        <v>559</v>
      </c>
      <c r="G108" s="38" t="s">
        <v>137</v>
      </c>
      <c r="H108" s="179">
        <v>43549</v>
      </c>
      <c r="I108" s="38" t="s">
        <v>377</v>
      </c>
      <c r="J108" s="38" t="s">
        <v>375</v>
      </c>
      <c r="S108" s="20"/>
      <c r="U108" s="20"/>
      <c r="W108" s="20"/>
    </row>
    <row r="109" spans="1:23">
      <c r="A109" s="38">
        <v>7810</v>
      </c>
      <c r="B109" s="38" t="s">
        <v>76</v>
      </c>
      <c r="C109" s="179">
        <v>43471</v>
      </c>
      <c r="D109" s="38">
        <v>224</v>
      </c>
      <c r="E109" s="38" t="s">
        <v>91</v>
      </c>
      <c r="F109" s="22">
        <v>153117</v>
      </c>
      <c r="G109" s="38" t="s">
        <v>137</v>
      </c>
      <c r="H109" s="179">
        <v>43723</v>
      </c>
      <c r="I109" s="38" t="s">
        <v>141</v>
      </c>
      <c r="J109" s="38" t="s">
        <v>376</v>
      </c>
      <c r="S109" s="20"/>
      <c r="U109" s="20"/>
      <c r="W109" s="20"/>
    </row>
    <row r="110" spans="1:23">
      <c r="A110" s="38">
        <v>9325</v>
      </c>
      <c r="B110" s="38" t="s">
        <v>83</v>
      </c>
      <c r="C110" s="179">
        <v>43471</v>
      </c>
      <c r="D110" s="38">
        <v>46</v>
      </c>
      <c r="E110" s="38" t="s">
        <v>89</v>
      </c>
      <c r="F110" s="22">
        <v>153117</v>
      </c>
      <c r="G110" s="38" t="s">
        <v>137</v>
      </c>
      <c r="H110" s="179">
        <v>43549</v>
      </c>
      <c r="I110" s="38" t="s">
        <v>143</v>
      </c>
      <c r="J110" s="38" t="s">
        <v>376</v>
      </c>
      <c r="S110" s="20"/>
      <c r="U110" s="20"/>
      <c r="W110" s="20"/>
    </row>
    <row r="111" spans="1:23">
      <c r="A111" s="38">
        <v>9325</v>
      </c>
      <c r="B111" s="38" t="s">
        <v>83</v>
      </c>
      <c r="C111" s="179">
        <v>43471</v>
      </c>
      <c r="D111" s="38">
        <v>204</v>
      </c>
      <c r="E111" s="38" t="s">
        <v>90</v>
      </c>
      <c r="F111" s="22">
        <v>153117</v>
      </c>
      <c r="G111" s="38" t="s">
        <v>137</v>
      </c>
      <c r="H111" s="179">
        <v>43723</v>
      </c>
      <c r="I111" s="38" t="s">
        <v>143</v>
      </c>
      <c r="J111" s="38" t="s">
        <v>376</v>
      </c>
      <c r="S111" s="20"/>
      <c r="U111" s="20"/>
      <c r="W111" s="20"/>
    </row>
    <row r="112" spans="1:23">
      <c r="A112" s="38">
        <v>7810</v>
      </c>
      <c r="B112" s="38" t="s">
        <v>76</v>
      </c>
      <c r="C112" s="179">
        <v>43471</v>
      </c>
      <c r="D112" s="38">
        <v>4</v>
      </c>
      <c r="E112" s="38" t="s">
        <v>133</v>
      </c>
      <c r="F112" s="22">
        <v>1000000</v>
      </c>
      <c r="G112" s="38" t="s">
        <v>137</v>
      </c>
      <c r="H112" s="179">
        <v>43544</v>
      </c>
      <c r="I112" s="38" t="s">
        <v>141</v>
      </c>
      <c r="J112" s="38" t="s">
        <v>376</v>
      </c>
      <c r="S112" s="20"/>
      <c r="U112" s="20"/>
      <c r="W112" s="20"/>
    </row>
    <row r="113" spans="1:23">
      <c r="A113" s="38">
        <v>7620</v>
      </c>
      <c r="B113" s="38" t="s">
        <v>72</v>
      </c>
      <c r="C113" s="179">
        <v>43470</v>
      </c>
      <c r="D113" s="38">
        <v>3</v>
      </c>
      <c r="E113" s="38" t="s">
        <v>132</v>
      </c>
      <c r="F113" s="22">
        <v>-200000</v>
      </c>
      <c r="G113" s="38" t="s">
        <v>137</v>
      </c>
      <c r="H113" s="179">
        <v>43544</v>
      </c>
      <c r="I113" s="38" t="s">
        <v>139</v>
      </c>
      <c r="J113" s="38" t="s">
        <v>376</v>
      </c>
      <c r="S113" s="20"/>
      <c r="U113" s="20"/>
      <c r="W113" s="20"/>
    </row>
    <row r="114" spans="1:23">
      <c r="A114" s="38">
        <v>7810</v>
      </c>
      <c r="B114" s="38" t="s">
        <v>76</v>
      </c>
      <c r="C114" s="179">
        <v>43470</v>
      </c>
      <c r="D114" s="38">
        <v>3</v>
      </c>
      <c r="E114" s="38" t="s">
        <v>132</v>
      </c>
      <c r="F114" s="22">
        <v>200000</v>
      </c>
      <c r="G114" s="38" t="s">
        <v>137</v>
      </c>
      <c r="H114" s="179">
        <v>43544</v>
      </c>
      <c r="I114" s="38" t="s">
        <v>141</v>
      </c>
      <c r="J114" s="38" t="s">
        <v>376</v>
      </c>
      <c r="S114" s="20"/>
      <c r="U114" s="20"/>
      <c r="W114" s="20"/>
    </row>
    <row r="115" spans="1:23">
      <c r="A115" s="38">
        <v>7620</v>
      </c>
      <c r="B115" s="38" t="s">
        <v>72</v>
      </c>
      <c r="C115" s="179">
        <v>43466</v>
      </c>
      <c r="D115" s="38">
        <v>241</v>
      </c>
      <c r="E115" s="38" t="s">
        <v>70</v>
      </c>
      <c r="F115" s="22">
        <v>-22614296</v>
      </c>
      <c r="G115" s="38" t="s">
        <v>130</v>
      </c>
      <c r="H115" s="179">
        <v>43723</v>
      </c>
      <c r="I115" s="38" t="s">
        <v>139</v>
      </c>
      <c r="J115" s="38" t="s">
        <v>376</v>
      </c>
      <c r="S115" s="20"/>
      <c r="U115" s="20"/>
      <c r="W115" s="20"/>
    </row>
    <row r="116" spans="1:23">
      <c r="A116" s="38">
        <v>8400</v>
      </c>
      <c r="B116" s="38" t="s">
        <v>79</v>
      </c>
      <c r="C116" s="179">
        <v>43466</v>
      </c>
      <c r="D116" s="38">
        <v>241</v>
      </c>
      <c r="E116" s="38" t="s">
        <v>70</v>
      </c>
      <c r="F116" s="22">
        <v>-14724182</v>
      </c>
      <c r="G116" s="38" t="s">
        <v>130</v>
      </c>
      <c r="H116" s="179">
        <v>43723</v>
      </c>
      <c r="I116" s="38" t="s">
        <v>0</v>
      </c>
      <c r="J116" s="38" t="s">
        <v>376</v>
      </c>
      <c r="S116" s="20"/>
      <c r="U116" s="20"/>
      <c r="W116" s="20"/>
    </row>
    <row r="117" spans="1:23">
      <c r="A117" s="38">
        <v>8730</v>
      </c>
      <c r="B117" s="38" t="s">
        <v>81</v>
      </c>
      <c r="C117" s="179">
        <v>43466</v>
      </c>
      <c r="D117" s="38">
        <v>241</v>
      </c>
      <c r="E117" s="38" t="s">
        <v>70</v>
      </c>
      <c r="F117" s="22">
        <v>-3027245</v>
      </c>
      <c r="G117" s="38" t="s">
        <v>130</v>
      </c>
      <c r="H117" s="179">
        <v>43723</v>
      </c>
      <c r="I117" s="38" t="s">
        <v>155</v>
      </c>
      <c r="J117" s="38" t="s">
        <v>376</v>
      </c>
      <c r="S117" s="20"/>
      <c r="U117" s="20"/>
      <c r="W117" s="20"/>
    </row>
    <row r="118" spans="1:23">
      <c r="A118" s="38">
        <v>7620</v>
      </c>
      <c r="B118" s="38" t="s">
        <v>72</v>
      </c>
      <c r="C118" s="179">
        <v>43466</v>
      </c>
      <c r="D118" s="38">
        <v>241</v>
      </c>
      <c r="E118" s="38" t="s">
        <v>70</v>
      </c>
      <c r="F118" s="22">
        <v>-1826170</v>
      </c>
      <c r="G118" s="38" t="s">
        <v>130</v>
      </c>
      <c r="H118" s="179">
        <v>43723</v>
      </c>
      <c r="I118" s="38" t="s">
        <v>139</v>
      </c>
      <c r="J118" s="38" t="s">
        <v>376</v>
      </c>
      <c r="S118" s="20"/>
      <c r="U118" s="20"/>
      <c r="W118" s="20"/>
    </row>
    <row r="119" spans="1:23">
      <c r="A119" s="38">
        <v>8710</v>
      </c>
      <c r="B119" s="38" t="s">
        <v>80</v>
      </c>
      <c r="C119" s="179">
        <v>43466</v>
      </c>
      <c r="D119" s="38">
        <v>241</v>
      </c>
      <c r="E119" s="38" t="s">
        <v>70</v>
      </c>
      <c r="F119" s="22">
        <v>-1617004</v>
      </c>
      <c r="G119" s="38" t="s">
        <v>130</v>
      </c>
      <c r="H119" s="179">
        <v>43723</v>
      </c>
      <c r="I119" s="38" t="s">
        <v>155</v>
      </c>
      <c r="J119" s="38" t="s">
        <v>376</v>
      </c>
      <c r="S119" s="20"/>
      <c r="U119" s="20"/>
      <c r="W119" s="20"/>
    </row>
    <row r="120" spans="1:23">
      <c r="A120" s="38">
        <v>7520</v>
      </c>
      <c r="B120" s="38" t="s">
        <v>47</v>
      </c>
      <c r="C120" s="179">
        <v>43466</v>
      </c>
      <c r="D120" s="38">
        <v>240</v>
      </c>
      <c r="E120" s="38" t="s">
        <v>61</v>
      </c>
      <c r="F120" s="22">
        <v>-1200000</v>
      </c>
      <c r="G120" s="38" t="s">
        <v>137</v>
      </c>
      <c r="H120" s="179">
        <v>43723</v>
      </c>
      <c r="I120" s="38" t="s">
        <v>47</v>
      </c>
      <c r="J120" s="38" t="s">
        <v>376</v>
      </c>
      <c r="S120" s="20"/>
      <c r="U120" s="20"/>
      <c r="W120" s="20"/>
    </row>
    <row r="121" spans="1:23">
      <c r="A121" s="38">
        <v>8100</v>
      </c>
      <c r="B121" s="38" t="s">
        <v>49</v>
      </c>
      <c r="C121" s="179">
        <v>43466</v>
      </c>
      <c r="D121" s="38">
        <v>241</v>
      </c>
      <c r="E121" s="38" t="s">
        <v>70</v>
      </c>
      <c r="F121" s="22">
        <v>-500000</v>
      </c>
      <c r="G121" s="38" t="s">
        <v>130</v>
      </c>
      <c r="H121" s="179">
        <v>43723</v>
      </c>
      <c r="I121" s="38" t="s">
        <v>0</v>
      </c>
      <c r="J121" s="38" t="s">
        <v>376</v>
      </c>
      <c r="S121" s="20"/>
      <c r="U121" s="20"/>
      <c r="W121" s="20"/>
    </row>
    <row r="122" spans="1:23">
      <c r="A122" s="38">
        <v>9610</v>
      </c>
      <c r="B122" s="38" t="s">
        <v>86</v>
      </c>
      <c r="C122" s="179">
        <v>43466</v>
      </c>
      <c r="D122" s="38">
        <v>241</v>
      </c>
      <c r="E122" s="38" t="s">
        <v>70</v>
      </c>
      <c r="F122" s="22">
        <v>-490982</v>
      </c>
      <c r="G122" s="38" t="s">
        <v>130</v>
      </c>
      <c r="H122" s="179">
        <v>43723</v>
      </c>
      <c r="I122" s="38" t="s">
        <v>143</v>
      </c>
      <c r="J122" s="38" t="s">
        <v>376</v>
      </c>
      <c r="S122" s="20"/>
      <c r="U122" s="20"/>
      <c r="W122" s="20"/>
    </row>
    <row r="123" spans="1:23">
      <c r="A123" s="38">
        <v>7630</v>
      </c>
      <c r="B123" s="38" t="s">
        <v>74</v>
      </c>
      <c r="C123" s="179">
        <v>43466</v>
      </c>
      <c r="D123" s="38">
        <v>241</v>
      </c>
      <c r="E123" s="38" t="s">
        <v>70</v>
      </c>
      <c r="F123" s="22">
        <v>-412955</v>
      </c>
      <c r="G123" s="38" t="s">
        <v>130</v>
      </c>
      <c r="H123" s="179">
        <v>43723</v>
      </c>
      <c r="I123" s="38" t="s">
        <v>139</v>
      </c>
      <c r="J123" s="38" t="s">
        <v>376</v>
      </c>
      <c r="S123" s="20"/>
      <c r="U123" s="20"/>
      <c r="W123" s="20"/>
    </row>
    <row r="124" spans="1:23">
      <c r="A124" s="38">
        <v>7840</v>
      </c>
      <c r="B124" s="38" t="s">
        <v>78</v>
      </c>
      <c r="C124" s="179">
        <v>43466</v>
      </c>
      <c r="D124" s="38">
        <v>241</v>
      </c>
      <c r="E124" s="38" t="s">
        <v>70</v>
      </c>
      <c r="F124" s="22">
        <v>-321581</v>
      </c>
      <c r="G124" s="38" t="s">
        <v>130</v>
      </c>
      <c r="H124" s="179">
        <v>43723</v>
      </c>
      <c r="I124" s="38" t="s">
        <v>141</v>
      </c>
      <c r="J124" s="38" t="s">
        <v>376</v>
      </c>
      <c r="S124" s="20"/>
      <c r="U124" s="20"/>
      <c r="W124" s="20"/>
    </row>
    <row r="125" spans="1:23">
      <c r="A125" s="38">
        <v>9325</v>
      </c>
      <c r="B125" s="38" t="s">
        <v>83</v>
      </c>
      <c r="C125" s="179">
        <v>43466</v>
      </c>
      <c r="D125" s="38">
        <v>241</v>
      </c>
      <c r="E125" s="38" t="s">
        <v>70</v>
      </c>
      <c r="F125" s="22">
        <v>-287216</v>
      </c>
      <c r="G125" s="38" t="s">
        <v>130</v>
      </c>
      <c r="H125" s="179">
        <v>43723</v>
      </c>
      <c r="I125" s="38" t="s">
        <v>143</v>
      </c>
      <c r="J125" s="38" t="s">
        <v>376</v>
      </c>
      <c r="S125" s="20"/>
      <c r="U125" s="20"/>
      <c r="W125" s="20"/>
    </row>
    <row r="126" spans="1:23">
      <c r="A126" s="38">
        <v>8160</v>
      </c>
      <c r="B126" s="38" t="s">
        <v>50</v>
      </c>
      <c r="C126" s="179">
        <v>43466</v>
      </c>
      <c r="D126" s="38">
        <v>241</v>
      </c>
      <c r="E126" s="38" t="s">
        <v>70</v>
      </c>
      <c r="F126" s="22">
        <v>-125000</v>
      </c>
      <c r="G126" s="38" t="s">
        <v>130</v>
      </c>
      <c r="H126" s="179">
        <v>43723</v>
      </c>
      <c r="I126" s="38" t="s">
        <v>0</v>
      </c>
      <c r="J126" s="38" t="s">
        <v>376</v>
      </c>
      <c r="S126" s="20"/>
      <c r="U126" s="20"/>
      <c r="W126" s="20"/>
    </row>
    <row r="127" spans="1:23">
      <c r="A127" s="38">
        <v>7820</v>
      </c>
      <c r="B127" s="38" t="s">
        <v>77</v>
      </c>
      <c r="C127" s="179">
        <v>43466</v>
      </c>
      <c r="D127" s="38">
        <v>241</v>
      </c>
      <c r="E127" s="38" t="s">
        <v>70</v>
      </c>
      <c r="F127" s="22">
        <v>-70241</v>
      </c>
      <c r="G127" s="38" t="s">
        <v>130</v>
      </c>
      <c r="H127" s="179">
        <v>43723</v>
      </c>
      <c r="I127" s="38" t="s">
        <v>141</v>
      </c>
      <c r="J127" s="38" t="s">
        <v>376</v>
      </c>
      <c r="S127" s="20"/>
      <c r="U127" s="20"/>
      <c r="W127" s="20"/>
    </row>
    <row r="128" spans="1:23">
      <c r="A128" s="38">
        <v>9320</v>
      </c>
      <c r="B128" s="38" t="s">
        <v>82</v>
      </c>
      <c r="C128" s="179">
        <v>43466</v>
      </c>
      <c r="D128" s="38">
        <v>7</v>
      </c>
      <c r="E128" s="38" t="s">
        <v>64</v>
      </c>
      <c r="F128" s="22">
        <v>-26764</v>
      </c>
      <c r="G128" s="38" t="s">
        <v>137</v>
      </c>
      <c r="H128" s="179">
        <v>43544</v>
      </c>
      <c r="I128" s="38" t="s">
        <v>142</v>
      </c>
      <c r="J128" s="38" t="s">
        <v>376</v>
      </c>
      <c r="S128" s="20"/>
      <c r="U128" s="20"/>
      <c r="W128" s="20"/>
    </row>
    <row r="129" spans="1:23">
      <c r="A129" s="38">
        <v>4335</v>
      </c>
      <c r="B129" s="38" t="s">
        <v>62</v>
      </c>
      <c r="C129" s="179">
        <v>43466</v>
      </c>
      <c r="D129" s="38">
        <v>12</v>
      </c>
      <c r="E129" s="38" t="s">
        <v>136</v>
      </c>
      <c r="F129" s="22">
        <v>-14567</v>
      </c>
      <c r="G129" s="38" t="s">
        <v>137</v>
      </c>
      <c r="H129" s="179">
        <v>43549</v>
      </c>
      <c r="I129" s="38" t="s">
        <v>377</v>
      </c>
      <c r="J129" s="38" t="s">
        <v>375</v>
      </c>
      <c r="S129" s="20"/>
      <c r="U129" s="20"/>
      <c r="W129" s="20"/>
    </row>
    <row r="130" spans="1:23">
      <c r="A130" s="38">
        <v>9320</v>
      </c>
      <c r="B130" s="38" t="s">
        <v>82</v>
      </c>
      <c r="C130" s="179">
        <v>43466</v>
      </c>
      <c r="D130" s="38">
        <v>11</v>
      </c>
      <c r="E130" s="38" t="s">
        <v>68</v>
      </c>
      <c r="F130" s="22">
        <v>-11770</v>
      </c>
      <c r="G130" s="38" t="s">
        <v>137</v>
      </c>
      <c r="H130" s="179">
        <v>43549</v>
      </c>
      <c r="I130" s="38" t="s">
        <v>142</v>
      </c>
      <c r="J130" s="38" t="s">
        <v>376</v>
      </c>
      <c r="S130" s="20"/>
      <c r="U130" s="20"/>
      <c r="W130" s="20"/>
    </row>
    <row r="131" spans="1:23">
      <c r="A131" s="38">
        <v>9325</v>
      </c>
      <c r="B131" s="38" t="s">
        <v>83</v>
      </c>
      <c r="C131" s="179">
        <v>43466</v>
      </c>
      <c r="D131" s="38">
        <v>87</v>
      </c>
      <c r="E131" s="38" t="s">
        <v>66</v>
      </c>
      <c r="F131" s="22">
        <v>-7940</v>
      </c>
      <c r="G131" s="38" t="s">
        <v>137</v>
      </c>
      <c r="H131" s="179">
        <v>43723</v>
      </c>
      <c r="I131" s="38" t="s">
        <v>143</v>
      </c>
      <c r="J131" s="38" t="s">
        <v>376</v>
      </c>
      <c r="S131" s="20"/>
      <c r="U131" s="20"/>
      <c r="W131" s="20"/>
    </row>
    <row r="132" spans="1:23">
      <c r="A132" s="38">
        <v>7622</v>
      </c>
      <c r="B132" s="38" t="s">
        <v>73</v>
      </c>
      <c r="C132" s="179">
        <v>43466</v>
      </c>
      <c r="D132" s="38">
        <v>241</v>
      </c>
      <c r="E132" s="38" t="s">
        <v>70</v>
      </c>
      <c r="F132" s="22">
        <v>-803</v>
      </c>
      <c r="G132" s="38" t="s">
        <v>130</v>
      </c>
      <c r="H132" s="179">
        <v>43723</v>
      </c>
      <c r="I132" s="38" t="s">
        <v>139</v>
      </c>
      <c r="J132" s="38" t="s">
        <v>376</v>
      </c>
      <c r="S132" s="20"/>
      <c r="U132" s="20"/>
      <c r="W132" s="20"/>
    </row>
    <row r="133" spans="1:23">
      <c r="A133" s="38">
        <v>7658</v>
      </c>
      <c r="B133" s="38" t="s">
        <v>75</v>
      </c>
      <c r="C133" s="179">
        <v>43466</v>
      </c>
      <c r="D133" s="38">
        <v>241</v>
      </c>
      <c r="E133" s="38" t="s">
        <v>70</v>
      </c>
      <c r="F133" s="22">
        <v>1000</v>
      </c>
      <c r="G133" s="38" t="s">
        <v>130</v>
      </c>
      <c r="H133" s="179">
        <v>43723</v>
      </c>
      <c r="I133" s="38" t="s">
        <v>140</v>
      </c>
      <c r="J133" s="38" t="s">
        <v>376</v>
      </c>
      <c r="S133" s="20"/>
      <c r="U133" s="20"/>
      <c r="W133" s="20"/>
    </row>
    <row r="134" spans="1:23">
      <c r="A134" s="38">
        <v>9511</v>
      </c>
      <c r="B134" s="38" t="s">
        <v>84</v>
      </c>
      <c r="C134" s="179">
        <v>43466</v>
      </c>
      <c r="D134" s="38">
        <v>87</v>
      </c>
      <c r="E134" s="38" t="s">
        <v>66</v>
      </c>
      <c r="F134" s="22">
        <v>1537</v>
      </c>
      <c r="G134" s="38" t="s">
        <v>137</v>
      </c>
      <c r="H134" s="179">
        <v>43723</v>
      </c>
      <c r="I134" s="38" t="s">
        <v>143</v>
      </c>
      <c r="J134" s="38" t="s">
        <v>376</v>
      </c>
      <c r="S134" s="20"/>
      <c r="U134" s="20"/>
      <c r="W134" s="20"/>
    </row>
    <row r="135" spans="1:23">
      <c r="A135" s="38">
        <v>9511</v>
      </c>
      <c r="B135" s="38" t="s">
        <v>84</v>
      </c>
      <c r="C135" s="179">
        <v>43466</v>
      </c>
      <c r="D135" s="38">
        <v>11</v>
      </c>
      <c r="E135" s="38" t="s">
        <v>68</v>
      </c>
      <c r="F135" s="22">
        <v>2278</v>
      </c>
      <c r="G135" s="38" t="s">
        <v>137</v>
      </c>
      <c r="H135" s="179">
        <v>43549</v>
      </c>
      <c r="I135" s="38" t="s">
        <v>143</v>
      </c>
      <c r="J135" s="38" t="s">
        <v>376</v>
      </c>
      <c r="S135" s="20"/>
      <c r="U135" s="20"/>
      <c r="W135" s="20"/>
    </row>
    <row r="136" spans="1:23">
      <c r="A136" s="38">
        <v>9511</v>
      </c>
      <c r="B136" s="38" t="s">
        <v>84</v>
      </c>
      <c r="C136" s="179">
        <v>43466</v>
      </c>
      <c r="D136" s="38">
        <v>7</v>
      </c>
      <c r="E136" s="38" t="s">
        <v>64</v>
      </c>
      <c r="F136" s="22">
        <v>5180</v>
      </c>
      <c r="G136" s="38" t="s">
        <v>137</v>
      </c>
      <c r="H136" s="179">
        <v>43544</v>
      </c>
      <c r="I136" s="38" t="s">
        <v>143</v>
      </c>
      <c r="J136" s="38" t="s">
        <v>376</v>
      </c>
      <c r="S136" s="20"/>
      <c r="U136" s="20"/>
      <c r="W136" s="20"/>
    </row>
    <row r="137" spans="1:23">
      <c r="A137" s="38">
        <v>4460</v>
      </c>
      <c r="B137" s="38" t="s">
        <v>65</v>
      </c>
      <c r="C137" s="179">
        <v>43466</v>
      </c>
      <c r="D137" s="38">
        <v>87</v>
      </c>
      <c r="E137" s="38" t="s">
        <v>66</v>
      </c>
      <c r="F137" s="22">
        <v>6403</v>
      </c>
      <c r="G137" s="38" t="s">
        <v>137</v>
      </c>
      <c r="H137" s="179">
        <v>43723</v>
      </c>
      <c r="I137" s="38" t="s">
        <v>377</v>
      </c>
      <c r="J137" s="38" t="s">
        <v>375</v>
      </c>
      <c r="S137" s="20"/>
      <c r="U137" s="20"/>
      <c r="W137" s="20"/>
    </row>
    <row r="138" spans="1:23">
      <c r="A138" s="38">
        <v>4480</v>
      </c>
      <c r="B138" s="38" t="s">
        <v>67</v>
      </c>
      <c r="C138" s="179">
        <v>43466</v>
      </c>
      <c r="D138" s="38">
        <v>11</v>
      </c>
      <c r="E138" s="38" t="s">
        <v>68</v>
      </c>
      <c r="F138" s="22">
        <v>9492</v>
      </c>
      <c r="G138" s="38" t="s">
        <v>137</v>
      </c>
      <c r="H138" s="179">
        <v>43549</v>
      </c>
      <c r="I138" s="38" t="s">
        <v>377</v>
      </c>
      <c r="J138" s="38" t="s">
        <v>375</v>
      </c>
      <c r="S138" s="20"/>
      <c r="U138" s="20"/>
      <c r="W138" s="20"/>
    </row>
    <row r="139" spans="1:23">
      <c r="A139" s="38">
        <v>9320</v>
      </c>
      <c r="B139" s="38" t="s">
        <v>82</v>
      </c>
      <c r="C139" s="179">
        <v>43466</v>
      </c>
      <c r="D139" s="38">
        <v>12</v>
      </c>
      <c r="E139" s="38" t="s">
        <v>136</v>
      </c>
      <c r="F139" s="22">
        <v>14567</v>
      </c>
      <c r="G139" s="38" t="s">
        <v>137</v>
      </c>
      <c r="H139" s="179">
        <v>43549</v>
      </c>
      <c r="I139" s="38" t="s">
        <v>142</v>
      </c>
      <c r="J139" s="38" t="s">
        <v>376</v>
      </c>
      <c r="S139" s="20"/>
      <c r="U139" s="20"/>
      <c r="W139" s="20"/>
    </row>
    <row r="140" spans="1:23">
      <c r="A140" s="38">
        <v>4410</v>
      </c>
      <c r="B140" s="38" t="s">
        <v>63</v>
      </c>
      <c r="C140" s="179">
        <v>43466</v>
      </c>
      <c r="D140" s="38">
        <v>7</v>
      </c>
      <c r="E140" s="38" t="s">
        <v>64</v>
      </c>
      <c r="F140" s="22">
        <v>21584</v>
      </c>
      <c r="G140" s="38" t="s">
        <v>137</v>
      </c>
      <c r="H140" s="179">
        <v>43544</v>
      </c>
      <c r="I140" s="38" t="s">
        <v>377</v>
      </c>
      <c r="J140" s="38" t="s">
        <v>375</v>
      </c>
      <c r="S140" s="20"/>
      <c r="U140" s="20"/>
      <c r="W140" s="20"/>
    </row>
    <row r="141" spans="1:23">
      <c r="A141" s="38">
        <v>7820</v>
      </c>
      <c r="B141" s="38" t="s">
        <v>77</v>
      </c>
      <c r="C141" s="179">
        <v>43466</v>
      </c>
      <c r="D141" s="38">
        <v>241</v>
      </c>
      <c r="E141" s="38" t="s">
        <v>70</v>
      </c>
      <c r="F141" s="22">
        <v>70361</v>
      </c>
      <c r="G141" s="38" t="s">
        <v>130</v>
      </c>
      <c r="H141" s="179">
        <v>43723</v>
      </c>
      <c r="I141" s="38" t="s">
        <v>141</v>
      </c>
      <c r="J141" s="38" t="s">
        <v>376</v>
      </c>
      <c r="S141" s="20"/>
      <c r="U141" s="20"/>
      <c r="W141" s="20"/>
    </row>
    <row r="142" spans="1:23">
      <c r="A142" s="38">
        <v>7810</v>
      </c>
      <c r="B142" s="38" t="s">
        <v>76</v>
      </c>
      <c r="C142" s="179">
        <v>43466</v>
      </c>
      <c r="D142" s="38">
        <v>241</v>
      </c>
      <c r="E142" s="38" t="s">
        <v>70</v>
      </c>
      <c r="F142" s="22">
        <v>77198</v>
      </c>
      <c r="G142" s="38" t="s">
        <v>130</v>
      </c>
      <c r="H142" s="179">
        <v>43723</v>
      </c>
      <c r="I142" s="38" t="s">
        <v>141</v>
      </c>
      <c r="J142" s="38" t="s">
        <v>376</v>
      </c>
      <c r="S142" s="20"/>
      <c r="U142" s="20"/>
      <c r="W142" s="20"/>
    </row>
    <row r="143" spans="1:23">
      <c r="A143" s="38">
        <v>7840</v>
      </c>
      <c r="B143" s="38" t="s">
        <v>78</v>
      </c>
      <c r="C143" s="179">
        <v>43466</v>
      </c>
      <c r="D143" s="38">
        <v>241</v>
      </c>
      <c r="E143" s="38" t="s">
        <v>70</v>
      </c>
      <c r="F143" s="22">
        <v>323138</v>
      </c>
      <c r="G143" s="38" t="s">
        <v>130</v>
      </c>
      <c r="H143" s="179">
        <v>43723</v>
      </c>
      <c r="I143" s="38" t="s">
        <v>141</v>
      </c>
      <c r="J143" s="38" t="s">
        <v>376</v>
      </c>
      <c r="S143" s="20"/>
      <c r="U143" s="20"/>
      <c r="W143" s="20"/>
    </row>
    <row r="144" spans="1:23">
      <c r="A144" s="38">
        <v>9535</v>
      </c>
      <c r="B144" s="38" t="s">
        <v>85</v>
      </c>
      <c r="C144" s="179">
        <v>43466</v>
      </c>
      <c r="D144" s="38">
        <v>241</v>
      </c>
      <c r="E144" s="38" t="s">
        <v>70</v>
      </c>
      <c r="F144" s="22">
        <v>388750</v>
      </c>
      <c r="G144" s="38" t="s">
        <v>130</v>
      </c>
      <c r="H144" s="179">
        <v>43723</v>
      </c>
      <c r="I144" s="38" t="s">
        <v>143</v>
      </c>
      <c r="J144" s="38" t="s">
        <v>376</v>
      </c>
      <c r="S144" s="20"/>
      <c r="U144" s="20"/>
      <c r="W144" s="20"/>
    </row>
    <row r="145" spans="1:23">
      <c r="A145" s="38">
        <v>7301</v>
      </c>
      <c r="B145" s="38" t="s">
        <v>69</v>
      </c>
      <c r="C145" s="179">
        <v>43466</v>
      </c>
      <c r="D145" s="38">
        <v>241</v>
      </c>
      <c r="E145" s="38" t="s">
        <v>70</v>
      </c>
      <c r="F145" s="22">
        <v>414000</v>
      </c>
      <c r="G145" s="38" t="s">
        <v>130</v>
      </c>
      <c r="H145" s="179">
        <v>43723</v>
      </c>
      <c r="I145" s="38" t="s">
        <v>178</v>
      </c>
      <c r="J145" s="38" t="s">
        <v>376</v>
      </c>
      <c r="S145" s="20"/>
      <c r="U145" s="20"/>
      <c r="W145" s="20"/>
    </row>
    <row r="146" spans="1:23">
      <c r="A146" s="38">
        <v>9320</v>
      </c>
      <c r="B146" s="38" t="s">
        <v>82</v>
      </c>
      <c r="C146" s="179">
        <v>43466</v>
      </c>
      <c r="D146" s="38">
        <v>241</v>
      </c>
      <c r="E146" s="38" t="s">
        <v>70</v>
      </c>
      <c r="F146" s="22">
        <v>810084</v>
      </c>
      <c r="G146" s="38" t="s">
        <v>130</v>
      </c>
      <c r="H146" s="179">
        <v>43723</v>
      </c>
      <c r="I146" s="38" t="s">
        <v>142</v>
      </c>
      <c r="J146" s="38" t="s">
        <v>376</v>
      </c>
      <c r="S146" s="20"/>
      <c r="U146" s="20"/>
      <c r="W146" s="20"/>
    </row>
    <row r="147" spans="1:23">
      <c r="A147" s="38">
        <v>2400</v>
      </c>
      <c r="B147" s="38" t="s">
        <v>60</v>
      </c>
      <c r="C147" s="179">
        <v>43466</v>
      </c>
      <c r="D147" s="38">
        <v>240</v>
      </c>
      <c r="E147" s="38" t="s">
        <v>61</v>
      </c>
      <c r="F147" s="22">
        <v>1200000</v>
      </c>
      <c r="G147" s="38" t="s">
        <v>137</v>
      </c>
      <c r="H147" s="179">
        <v>43723</v>
      </c>
      <c r="I147" s="38" t="s">
        <v>13</v>
      </c>
      <c r="J147" s="38" t="s">
        <v>375</v>
      </c>
      <c r="S147" s="20"/>
      <c r="U147" s="20"/>
      <c r="W147" s="20"/>
    </row>
    <row r="148" spans="1:23">
      <c r="A148" s="38">
        <v>7520</v>
      </c>
      <c r="B148" s="38" t="s">
        <v>47</v>
      </c>
      <c r="C148" s="179">
        <v>43466</v>
      </c>
      <c r="D148" s="38">
        <v>241</v>
      </c>
      <c r="E148" s="38" t="s">
        <v>70</v>
      </c>
      <c r="F148" s="22">
        <v>1200000</v>
      </c>
      <c r="G148" s="38" t="s">
        <v>130</v>
      </c>
      <c r="H148" s="179">
        <v>43723</v>
      </c>
      <c r="I148" s="38" t="s">
        <v>47</v>
      </c>
      <c r="J148" s="38" t="s">
        <v>376</v>
      </c>
      <c r="S148" s="20"/>
      <c r="U148" s="20"/>
      <c r="W148" s="20"/>
    </row>
    <row r="149" spans="1:23">
      <c r="A149" s="38">
        <v>8400</v>
      </c>
      <c r="B149" s="38" t="s">
        <v>79</v>
      </c>
      <c r="C149" s="179">
        <v>43466</v>
      </c>
      <c r="D149" s="38">
        <v>241</v>
      </c>
      <c r="E149" s="38" t="s">
        <v>70</v>
      </c>
      <c r="F149" s="22">
        <v>1323725</v>
      </c>
      <c r="G149" s="38" t="s">
        <v>130</v>
      </c>
      <c r="H149" s="179">
        <v>43723</v>
      </c>
      <c r="I149" s="38" t="s">
        <v>0</v>
      </c>
      <c r="J149" s="38" t="s">
        <v>376</v>
      </c>
      <c r="S149" s="20"/>
      <c r="U149" s="20"/>
      <c r="W149" s="20"/>
    </row>
    <row r="150" spans="1:23">
      <c r="A150" s="38">
        <v>7341</v>
      </c>
      <c r="B150" s="38" t="s">
        <v>71</v>
      </c>
      <c r="C150" s="179">
        <v>43466</v>
      </c>
      <c r="D150" s="38">
        <v>241</v>
      </c>
      <c r="E150" s="38" t="s">
        <v>70</v>
      </c>
      <c r="F150" s="22">
        <v>17055600</v>
      </c>
      <c r="G150" s="38" t="s">
        <v>130</v>
      </c>
      <c r="H150" s="179">
        <v>43723</v>
      </c>
      <c r="I150" s="38" t="s">
        <v>178</v>
      </c>
      <c r="J150" s="38" t="s">
        <v>376</v>
      </c>
      <c r="S150" s="20"/>
      <c r="U150" s="20"/>
      <c r="W150" s="20"/>
    </row>
    <row r="151" spans="1:23">
      <c r="A151" s="38">
        <v>7620</v>
      </c>
      <c r="B151" s="38" t="s">
        <v>72</v>
      </c>
      <c r="C151" s="179">
        <v>43466</v>
      </c>
      <c r="D151" s="38">
        <v>241</v>
      </c>
      <c r="E151" s="38" t="s">
        <v>70</v>
      </c>
      <c r="F151" s="22">
        <v>24353819</v>
      </c>
      <c r="G151" s="38" t="s">
        <v>130</v>
      </c>
      <c r="H151" s="179">
        <v>43723</v>
      </c>
      <c r="I151" s="38" t="s">
        <v>139</v>
      </c>
      <c r="J151" s="38" t="s">
        <v>376</v>
      </c>
      <c r="S151" s="20"/>
      <c r="U151" s="20"/>
      <c r="W151" s="20"/>
    </row>
  </sheetData>
  <sortState xmlns:xlrd2="http://schemas.microsoft.com/office/spreadsheetml/2017/richdata2" ref="A2:K151">
    <sortCondition descending="1" ref="C2:C151"/>
  </sortState>
  <dataConsolidate/>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4" tint="0.59999389629810485"/>
  </sheetPr>
  <dimension ref="A2:E2"/>
  <sheetViews>
    <sheetView workbookViewId="0">
      <selection activeCell="A4" sqref="A4"/>
    </sheetView>
  </sheetViews>
  <sheetFormatPr defaultRowHeight="15"/>
  <cols>
    <col min="1" max="1" width="24.28515625" customWidth="1"/>
    <col min="2" max="2" width="16.42578125" style="377" bestFit="1" customWidth="1"/>
    <col min="3" max="4" width="13.42578125" style="377" bestFit="1" customWidth="1"/>
    <col min="5" max="5" width="14.42578125" style="377" bestFit="1" customWidth="1"/>
  </cols>
  <sheetData>
    <row r="2" spans="1:1">
      <c r="A2" s="536" t="s">
        <v>638</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7">
    <tabColor theme="4" tint="-0.249977111117893"/>
  </sheetPr>
  <dimension ref="A2:AM132"/>
  <sheetViews>
    <sheetView topLeftCell="M19" zoomScale="93" zoomScaleNormal="93" workbookViewId="0">
      <selection activeCell="S56" sqref="S56"/>
    </sheetView>
  </sheetViews>
  <sheetFormatPr defaultRowHeight="15"/>
  <cols>
    <col min="1" max="1" width="5.140625" style="29" customWidth="1"/>
    <col min="2" max="2" width="8" style="28" customWidth="1"/>
    <col min="3" max="3" width="14.28515625" style="28" customWidth="1"/>
    <col min="4" max="4" width="13.28515625" style="28" customWidth="1"/>
    <col min="5" max="8" width="14.28515625" style="28" customWidth="1"/>
    <col min="9" max="9" width="16.85546875" style="29" customWidth="1"/>
    <col min="10" max="10" width="14.42578125" style="29" customWidth="1"/>
    <col min="11" max="11" width="14.5703125" style="29" customWidth="1"/>
    <col min="12" max="12" width="4.5703125" style="29" customWidth="1"/>
    <col min="14" max="14" width="53.28515625" bestFit="1" customWidth="1"/>
    <col min="15" max="15" width="15.28515625" customWidth="1"/>
    <col min="16" max="16" width="12.28515625" customWidth="1"/>
    <col min="17" max="17" width="13.42578125" customWidth="1"/>
    <col min="18" max="18" width="14.85546875" customWidth="1"/>
    <col min="19" max="19" width="39.140625" customWidth="1"/>
    <col min="20" max="20" width="26.7109375" customWidth="1"/>
    <col min="21" max="21" width="16.85546875" customWidth="1"/>
    <col min="22" max="30" width="16.140625" customWidth="1"/>
    <col min="31" max="31" width="15.85546875" customWidth="1"/>
    <col min="32" max="32" width="18.42578125" customWidth="1"/>
  </cols>
  <sheetData>
    <row r="2" spans="1:20">
      <c r="B2" s="148" t="s">
        <v>325</v>
      </c>
      <c r="C2" s="149"/>
      <c r="D2" s="31"/>
    </row>
    <row r="3" spans="1:20">
      <c r="B3" s="148" t="s">
        <v>277</v>
      </c>
      <c r="E3" s="196"/>
      <c r="F3" s="28" t="s">
        <v>602</v>
      </c>
      <c r="I3" s="370"/>
    </row>
    <row r="4" spans="1:20">
      <c r="A4" s="29">
        <v>1</v>
      </c>
      <c r="B4" s="148" t="s">
        <v>149</v>
      </c>
      <c r="E4" s="196"/>
    </row>
    <row r="5" spans="1:20">
      <c r="A5" s="29">
        <v>2</v>
      </c>
      <c r="B5" s="148" t="s">
        <v>155</v>
      </c>
      <c r="E5" s="196"/>
    </row>
    <row r="6" spans="1:20">
      <c r="A6" s="29">
        <v>3</v>
      </c>
      <c r="B6" s="148" t="s">
        <v>465</v>
      </c>
      <c r="E6" s="196"/>
    </row>
    <row r="7" spans="1:20">
      <c r="A7" s="29">
        <v>4</v>
      </c>
      <c r="B7" s="148" t="s">
        <v>282</v>
      </c>
      <c r="E7" s="196"/>
      <c r="H7" s="434"/>
    </row>
    <row r="8" spans="1:20">
      <c r="A8" s="29">
        <v>5</v>
      </c>
      <c r="B8" s="148" t="s">
        <v>139</v>
      </c>
      <c r="E8" s="196"/>
    </row>
    <row r="9" spans="1:20">
      <c r="A9" s="29">
        <v>6</v>
      </c>
      <c r="B9" s="148" t="s">
        <v>46</v>
      </c>
      <c r="E9" s="196"/>
    </row>
    <row r="10" spans="1:20">
      <c r="B10" s="148" t="s">
        <v>326</v>
      </c>
      <c r="E10" s="196"/>
    </row>
    <row r="11" spans="1:20">
      <c r="B11" s="150"/>
      <c r="E11" s="154">
        <f>SUM(E3:E10)</f>
        <v>0</v>
      </c>
    </row>
    <row r="12" spans="1:20">
      <c r="D12" s="31"/>
    </row>
    <row r="13" spans="1:20" ht="23.25">
      <c r="P13" s="547" t="s">
        <v>296</v>
      </c>
      <c r="Q13" s="156"/>
      <c r="S13" s="156" t="s">
        <v>296</v>
      </c>
      <c r="T13" s="156"/>
    </row>
    <row r="16" spans="1:20" ht="23.25">
      <c r="A16" s="515" t="s">
        <v>358</v>
      </c>
      <c r="B16" s="516"/>
      <c r="C16" s="516"/>
      <c r="D16" s="516"/>
      <c r="N16" s="25" t="s">
        <v>685</v>
      </c>
      <c r="O16" s="4"/>
      <c r="P16" s="4"/>
      <c r="Q16" s="4"/>
    </row>
    <row r="17" spans="1:21" ht="29.25" customHeight="1">
      <c r="N17" s="25"/>
      <c r="O17" s="4"/>
      <c r="P17" s="594" t="s">
        <v>163</v>
      </c>
      <c r="Q17" s="594"/>
    </row>
    <row r="18" spans="1:21" s="26" customFormat="1" ht="29.25">
      <c r="A18" s="166" t="s">
        <v>166</v>
      </c>
      <c r="B18" s="29"/>
      <c r="C18" s="29"/>
      <c r="D18" s="29"/>
      <c r="E18" s="29"/>
      <c r="F18" s="29"/>
      <c r="G18" s="29"/>
      <c r="H18" s="29"/>
      <c r="I18" s="29"/>
      <c r="J18" s="29"/>
      <c r="K18" s="29"/>
      <c r="L18" s="29"/>
      <c r="M18" s="27" t="s">
        <v>164</v>
      </c>
      <c r="N18" s="27" t="s">
        <v>165</v>
      </c>
      <c r="O18" s="27" t="s">
        <v>146</v>
      </c>
      <c r="P18" s="27" t="s">
        <v>160</v>
      </c>
      <c r="Q18" s="27" t="s">
        <v>161</v>
      </c>
      <c r="R18" s="27" t="s">
        <v>147</v>
      </c>
      <c r="S18" s="550" t="s">
        <v>148</v>
      </c>
      <c r="T18" s="41" t="s">
        <v>295</v>
      </c>
      <c r="U18" s="41"/>
    </row>
    <row r="19" spans="1:21">
      <c r="N19" s="26"/>
      <c r="O19" s="4"/>
      <c r="P19" s="4"/>
      <c r="Q19" s="4"/>
      <c r="S19" s="153"/>
    </row>
    <row r="20" spans="1:21">
      <c r="A20" s="595" t="s">
        <v>677</v>
      </c>
      <c r="B20" s="595"/>
      <c r="C20" s="595"/>
      <c r="D20" s="595"/>
      <c r="E20" s="595"/>
      <c r="F20" s="595"/>
      <c r="G20" s="595"/>
      <c r="H20" s="595"/>
      <c r="I20" s="595"/>
      <c r="O20" s="28"/>
      <c r="P20" s="28"/>
      <c r="Q20" s="28"/>
      <c r="R20" s="30"/>
      <c r="S20" s="153"/>
      <c r="T20" s="29"/>
      <c r="U20" s="29"/>
    </row>
    <row r="21" spans="1:21" ht="15" customHeight="1">
      <c r="A21" s="595" t="s">
        <v>503</v>
      </c>
      <c r="B21" s="595"/>
      <c r="C21" s="595"/>
      <c r="D21" s="595"/>
      <c r="E21" s="595"/>
      <c r="F21" s="595"/>
      <c r="G21" s="595"/>
      <c r="H21" s="595"/>
      <c r="I21" s="595"/>
      <c r="J21" s="203"/>
      <c r="M21" s="29">
        <v>1000</v>
      </c>
      <c r="N21" s="26" t="s">
        <v>141</v>
      </c>
      <c r="O21" s="28">
        <v>75000000</v>
      </c>
      <c r="P21" s="127">
        <v>0</v>
      </c>
      <c r="Q21" s="127">
        <v>0</v>
      </c>
      <c r="R21" s="31">
        <f>+O21+P21-Q21</f>
        <v>75000000</v>
      </c>
      <c r="S21" s="184"/>
      <c r="T21" s="151" t="s">
        <v>141</v>
      </c>
      <c r="U21" s="29"/>
    </row>
    <row r="22" spans="1:21">
      <c r="A22" s="595"/>
      <c r="B22" s="595"/>
      <c r="C22" s="595"/>
      <c r="D22" s="595"/>
      <c r="E22" s="595"/>
      <c r="F22" s="595"/>
      <c r="G22" s="595"/>
      <c r="H22" s="595"/>
      <c r="I22" s="595"/>
      <c r="J22" s="203"/>
      <c r="M22" s="29">
        <v>1100</v>
      </c>
      <c r="N22" s="26" t="s">
        <v>347</v>
      </c>
      <c r="O22" s="28">
        <v>13100000</v>
      </c>
      <c r="P22" s="127">
        <v>0</v>
      </c>
      <c r="Q22" s="127">
        <v>0</v>
      </c>
      <c r="R22" s="31">
        <f t="shared" ref="R22:R53" si="0">+O22+P22-Q22</f>
        <v>13100000</v>
      </c>
      <c r="S22" s="184"/>
      <c r="T22" s="151" t="s">
        <v>348</v>
      </c>
      <c r="U22" s="29"/>
    </row>
    <row r="23" spans="1:21">
      <c r="A23" s="595"/>
      <c r="B23" s="595"/>
      <c r="C23" s="595"/>
      <c r="D23" s="595"/>
      <c r="E23" s="595"/>
      <c r="F23" s="595"/>
      <c r="G23" s="595"/>
      <c r="H23" s="595"/>
      <c r="I23" s="595"/>
      <c r="J23" s="203"/>
      <c r="M23" s="29">
        <v>1200</v>
      </c>
      <c r="N23" s="26" t="s">
        <v>139</v>
      </c>
      <c r="O23" s="28">
        <v>151000500</v>
      </c>
      <c r="P23" s="127">
        <v>0</v>
      </c>
      <c r="Q23" s="127">
        <v>0</v>
      </c>
      <c r="R23" s="31">
        <f t="shared" si="0"/>
        <v>151000500</v>
      </c>
      <c r="S23" s="184"/>
      <c r="T23" s="151" t="s">
        <v>139</v>
      </c>
      <c r="U23" s="29"/>
    </row>
    <row r="24" spans="1:21">
      <c r="A24" s="595"/>
      <c r="B24" s="595"/>
      <c r="C24" s="595"/>
      <c r="D24" s="595"/>
      <c r="E24" s="595"/>
      <c r="F24" s="595"/>
      <c r="G24" s="595"/>
      <c r="H24" s="595"/>
      <c r="I24" s="595"/>
      <c r="J24" s="203"/>
      <c r="M24" s="29">
        <v>1210</v>
      </c>
      <c r="N24" s="26" t="s">
        <v>415</v>
      </c>
      <c r="O24" s="28">
        <v>-5950000</v>
      </c>
      <c r="P24" s="127">
        <v>0</v>
      </c>
      <c r="Q24" s="127">
        <v>0</v>
      </c>
      <c r="R24" s="31">
        <f>+O24+P24-Q24</f>
        <v>-5950000</v>
      </c>
      <c r="S24" s="184"/>
      <c r="T24" s="151" t="s">
        <v>139</v>
      </c>
      <c r="U24" s="29"/>
    </row>
    <row r="25" spans="1:21">
      <c r="A25" s="595"/>
      <c r="B25" s="595"/>
      <c r="C25" s="595"/>
      <c r="D25" s="595"/>
      <c r="E25" s="595"/>
      <c r="F25" s="595"/>
      <c r="G25" s="595"/>
      <c r="H25" s="595"/>
      <c r="I25" s="595"/>
      <c r="J25" s="203"/>
      <c r="M25" s="29">
        <v>1300</v>
      </c>
      <c r="N25" s="26" t="s">
        <v>149</v>
      </c>
      <c r="O25" s="28">
        <v>120000000</v>
      </c>
      <c r="P25" s="127">
        <v>0</v>
      </c>
      <c r="Q25" s="127">
        <v>0</v>
      </c>
      <c r="R25" s="31">
        <f t="shared" si="0"/>
        <v>120000000</v>
      </c>
      <c r="S25" s="184"/>
      <c r="T25" s="151" t="s">
        <v>291</v>
      </c>
      <c r="U25" s="29"/>
    </row>
    <row r="26" spans="1:21">
      <c r="A26" s="595"/>
      <c r="B26" s="595"/>
      <c r="C26" s="595"/>
      <c r="D26" s="595"/>
      <c r="E26" s="595"/>
      <c r="F26" s="595"/>
      <c r="G26" s="595"/>
      <c r="H26" s="595"/>
      <c r="I26" s="595"/>
      <c r="J26" s="203"/>
      <c r="M26" s="29">
        <v>1400</v>
      </c>
      <c r="N26" s="26" t="s">
        <v>150</v>
      </c>
      <c r="O26" s="31">
        <v>227800000</v>
      </c>
      <c r="P26" s="127">
        <v>0</v>
      </c>
      <c r="Q26" s="127">
        <v>0</v>
      </c>
      <c r="R26" s="31">
        <f t="shared" si="0"/>
        <v>227800000</v>
      </c>
      <c r="S26" s="184"/>
      <c r="T26" s="151" t="s">
        <v>313</v>
      </c>
      <c r="U26" s="29"/>
    </row>
    <row r="27" spans="1:21">
      <c r="A27" s="595"/>
      <c r="B27" s="595"/>
      <c r="C27" s="595"/>
      <c r="D27" s="595"/>
      <c r="E27" s="595"/>
      <c r="F27" s="595"/>
      <c r="G27" s="595"/>
      <c r="H27" s="595"/>
      <c r="I27" s="595"/>
      <c r="J27" s="203"/>
      <c r="M27" s="29">
        <v>1500</v>
      </c>
      <c r="N27" s="26" t="s">
        <v>462</v>
      </c>
      <c r="O27" s="31">
        <v>25000000</v>
      </c>
      <c r="P27" s="127">
        <v>0</v>
      </c>
      <c r="Q27" s="127">
        <v>0</v>
      </c>
      <c r="R27" s="31">
        <f t="shared" si="0"/>
        <v>25000000</v>
      </c>
      <c r="S27" s="184"/>
      <c r="T27" s="151" t="s">
        <v>345</v>
      </c>
      <c r="U27" s="29"/>
    </row>
    <row r="28" spans="1:21">
      <c r="A28" s="595"/>
      <c r="B28" s="595"/>
      <c r="C28" s="595"/>
      <c r="D28" s="595"/>
      <c r="E28" s="595"/>
      <c r="F28" s="595"/>
      <c r="G28" s="595"/>
      <c r="H28" s="595"/>
      <c r="I28" s="595"/>
      <c r="J28" s="203"/>
      <c r="M28" s="29">
        <v>1900</v>
      </c>
      <c r="N28" s="26" t="s">
        <v>461</v>
      </c>
      <c r="O28" s="31">
        <v>13200000</v>
      </c>
      <c r="P28" s="127">
        <v>0</v>
      </c>
      <c r="Q28" s="127">
        <v>0</v>
      </c>
      <c r="R28" s="31">
        <f t="shared" si="0"/>
        <v>13200000</v>
      </c>
      <c r="S28" s="184"/>
      <c r="T28" s="151" t="s">
        <v>461</v>
      </c>
      <c r="U28" s="29"/>
    </row>
    <row r="29" spans="1:21">
      <c r="A29" s="595"/>
      <c r="B29" s="595"/>
      <c r="C29" s="595"/>
      <c r="D29" s="595"/>
      <c r="E29" s="595"/>
      <c r="F29" s="595"/>
      <c r="G29" s="595"/>
      <c r="H29" s="595"/>
      <c r="I29" s="595"/>
      <c r="J29" s="203"/>
      <c r="M29" s="29">
        <v>2000</v>
      </c>
      <c r="N29" s="26" t="s">
        <v>151</v>
      </c>
      <c r="O29" s="28">
        <f>-15000000-9500000</f>
        <v>-24500000</v>
      </c>
      <c r="P29" s="127">
        <v>0</v>
      </c>
      <c r="Q29" s="127">
        <v>0</v>
      </c>
      <c r="R29" s="31">
        <f t="shared" si="0"/>
        <v>-24500000</v>
      </c>
      <c r="S29" s="184"/>
      <c r="T29" s="151" t="s">
        <v>190</v>
      </c>
      <c r="U29" s="29"/>
    </row>
    <row r="30" spans="1:21">
      <c r="A30" s="595"/>
      <c r="B30" s="595"/>
      <c r="C30" s="595"/>
      <c r="D30" s="595"/>
      <c r="E30" s="595"/>
      <c r="F30" s="595"/>
      <c r="G30" s="595"/>
      <c r="H30" s="595"/>
      <c r="I30" s="595"/>
      <c r="J30" s="203"/>
      <c r="M30" s="29">
        <v>2100</v>
      </c>
      <c r="N30" s="26" t="s">
        <v>142</v>
      </c>
      <c r="O30" s="28">
        <v>-76100000</v>
      </c>
      <c r="P30" s="127">
        <v>0</v>
      </c>
      <c r="Q30" s="127">
        <v>0</v>
      </c>
      <c r="R30" s="31">
        <f t="shared" si="0"/>
        <v>-76100000</v>
      </c>
      <c r="S30" s="184"/>
      <c r="T30" s="151" t="s">
        <v>316</v>
      </c>
      <c r="U30" s="29"/>
    </row>
    <row r="31" spans="1:21">
      <c r="A31" s="595"/>
      <c r="B31" s="595"/>
      <c r="C31" s="595"/>
      <c r="D31" s="595"/>
      <c r="E31" s="595"/>
      <c r="F31" s="595"/>
      <c r="G31" s="595"/>
      <c r="H31" s="595"/>
      <c r="I31" s="595"/>
      <c r="J31" s="203"/>
      <c r="M31" s="29">
        <v>2200</v>
      </c>
      <c r="N31" s="26" t="s">
        <v>152</v>
      </c>
      <c r="O31" s="28">
        <v>0</v>
      </c>
      <c r="P31" s="127">
        <v>0</v>
      </c>
      <c r="Q31" s="127">
        <v>0</v>
      </c>
      <c r="R31" s="31">
        <f t="shared" si="0"/>
        <v>0</v>
      </c>
      <c r="S31" s="184"/>
      <c r="T31" s="151" t="s">
        <v>319</v>
      </c>
      <c r="U31" s="29"/>
    </row>
    <row r="32" spans="1:21">
      <c r="A32" s="595"/>
      <c r="B32" s="595"/>
      <c r="C32" s="595"/>
      <c r="D32" s="595"/>
      <c r="E32" s="595"/>
      <c r="F32" s="595"/>
      <c r="G32" s="595"/>
      <c r="H32" s="595"/>
      <c r="I32" s="595"/>
      <c r="J32" s="203"/>
      <c r="M32" s="29">
        <v>2250</v>
      </c>
      <c r="N32" s="26" t="s">
        <v>460</v>
      </c>
      <c r="O32" s="28">
        <v>-13100000</v>
      </c>
      <c r="P32" s="127">
        <v>0</v>
      </c>
      <c r="Q32" s="127">
        <v>0</v>
      </c>
      <c r="R32" s="31">
        <f t="shared" si="0"/>
        <v>-13100000</v>
      </c>
      <c r="S32" s="184"/>
      <c r="T32" s="151" t="s">
        <v>464</v>
      </c>
      <c r="U32" s="29"/>
    </row>
    <row r="33" spans="1:37">
      <c r="A33" s="595"/>
      <c r="B33" s="595"/>
      <c r="C33" s="595"/>
      <c r="D33" s="595"/>
      <c r="E33" s="595"/>
      <c r="F33" s="595"/>
      <c r="G33" s="595"/>
      <c r="H33" s="595"/>
      <c r="I33" s="595"/>
      <c r="J33" s="203"/>
      <c r="M33" s="29">
        <v>2300</v>
      </c>
      <c r="N33" s="26" t="s">
        <v>153</v>
      </c>
      <c r="O33" s="28">
        <v>0</v>
      </c>
      <c r="P33" s="127">
        <v>0</v>
      </c>
      <c r="Q33" s="127">
        <v>0</v>
      </c>
      <c r="R33" s="31">
        <f t="shared" si="0"/>
        <v>0</v>
      </c>
      <c r="S33" s="184"/>
      <c r="T33" s="151" t="s">
        <v>320</v>
      </c>
      <c r="U33" s="29"/>
    </row>
    <row r="34" spans="1:37">
      <c r="A34" s="595"/>
      <c r="B34" s="595"/>
      <c r="C34" s="595"/>
      <c r="D34" s="595"/>
      <c r="E34" s="595"/>
      <c r="F34" s="595"/>
      <c r="G34" s="595"/>
      <c r="H34" s="595"/>
      <c r="I34" s="595"/>
      <c r="J34" s="203"/>
      <c r="M34" s="29">
        <v>2400</v>
      </c>
      <c r="N34" s="26" t="s">
        <v>154</v>
      </c>
      <c r="O34" s="28">
        <v>0</v>
      </c>
      <c r="P34" s="127">
        <v>0</v>
      </c>
      <c r="Q34" s="127">
        <v>0</v>
      </c>
      <c r="R34" s="31">
        <f t="shared" si="0"/>
        <v>0</v>
      </c>
      <c r="S34" s="184"/>
      <c r="T34" s="151" t="s">
        <v>319</v>
      </c>
      <c r="U34" s="29"/>
      <c r="V34" s="57"/>
    </row>
    <row r="35" spans="1:37">
      <c r="A35" s="595"/>
      <c r="B35" s="595"/>
      <c r="C35" s="595"/>
      <c r="D35" s="595"/>
      <c r="E35" s="595"/>
      <c r="F35" s="595"/>
      <c r="G35" s="595"/>
      <c r="H35" s="595"/>
      <c r="I35" s="595"/>
      <c r="J35" s="203"/>
      <c r="M35" s="29">
        <v>2500</v>
      </c>
      <c r="N35" s="26" t="s">
        <v>48</v>
      </c>
      <c r="O35" s="28">
        <v>-13456000</v>
      </c>
      <c r="P35" s="127">
        <v>0</v>
      </c>
      <c r="Q35" s="127">
        <v>0</v>
      </c>
      <c r="R35" s="31">
        <f t="shared" si="0"/>
        <v>-13456000</v>
      </c>
      <c r="S35" s="184"/>
      <c r="T35" s="151" t="s">
        <v>317</v>
      </c>
      <c r="U35" s="29"/>
      <c r="V35" s="57"/>
    </row>
    <row r="36" spans="1:37">
      <c r="A36" s="595"/>
      <c r="B36" s="595"/>
      <c r="C36" s="595"/>
      <c r="D36" s="595"/>
      <c r="E36" s="595"/>
      <c r="F36" s="595"/>
      <c r="G36" s="595"/>
      <c r="H36" s="595"/>
      <c r="I36" s="595"/>
      <c r="J36" s="203"/>
      <c r="M36" s="29">
        <v>2600</v>
      </c>
      <c r="N36" s="26" t="s">
        <v>155</v>
      </c>
      <c r="O36" s="28">
        <v>-126000000</v>
      </c>
      <c r="P36" s="127">
        <v>0</v>
      </c>
      <c r="Q36" s="127">
        <v>0</v>
      </c>
      <c r="R36" s="31">
        <f t="shared" si="0"/>
        <v>-126000000</v>
      </c>
      <c r="S36" s="184"/>
      <c r="T36" s="151" t="s">
        <v>321</v>
      </c>
      <c r="U36" s="29"/>
      <c r="V36" s="61"/>
    </row>
    <row r="37" spans="1:37">
      <c r="A37" s="595" t="s">
        <v>431</v>
      </c>
      <c r="B37" s="595"/>
      <c r="C37" s="595"/>
      <c r="D37" s="595"/>
      <c r="E37" s="595"/>
      <c r="F37" s="595"/>
      <c r="G37" s="595"/>
      <c r="H37" s="595"/>
      <c r="I37" s="595"/>
      <c r="M37" s="29">
        <v>2700</v>
      </c>
      <c r="N37" s="26" t="s">
        <v>156</v>
      </c>
      <c r="O37" s="28"/>
      <c r="P37" s="127">
        <v>0</v>
      </c>
      <c r="Q37" s="127">
        <v>0</v>
      </c>
      <c r="R37" s="31">
        <f t="shared" si="0"/>
        <v>0</v>
      </c>
      <c r="S37" s="184"/>
      <c r="T37" s="151" t="s">
        <v>191</v>
      </c>
      <c r="U37" s="29"/>
      <c r="V37" s="61"/>
    </row>
    <row r="38" spans="1:37">
      <c r="A38" s="595"/>
      <c r="B38" s="595"/>
      <c r="C38" s="595"/>
      <c r="D38" s="595"/>
      <c r="E38" s="595"/>
      <c r="F38" s="595"/>
      <c r="G38" s="595"/>
      <c r="H38" s="595"/>
      <c r="I38" s="595"/>
      <c r="J38" s="203"/>
      <c r="M38" s="29">
        <v>3000</v>
      </c>
      <c r="N38" s="26" t="s">
        <v>49</v>
      </c>
      <c r="O38" s="28">
        <v>-50000000</v>
      </c>
      <c r="P38" s="127">
        <v>0</v>
      </c>
      <c r="Q38" s="127">
        <v>0</v>
      </c>
      <c r="R38" s="31">
        <f t="shared" si="0"/>
        <v>-50000000</v>
      </c>
      <c r="S38" s="184"/>
      <c r="T38" s="151" t="s">
        <v>49</v>
      </c>
      <c r="U38" s="29"/>
      <c r="V38" s="57"/>
    </row>
    <row r="39" spans="1:37" s="47" customFormat="1">
      <c r="A39" s="595"/>
      <c r="B39" s="595"/>
      <c r="C39" s="595"/>
      <c r="D39" s="595"/>
      <c r="E39" s="595"/>
      <c r="F39" s="595"/>
      <c r="G39" s="595"/>
      <c r="H39" s="595"/>
      <c r="I39" s="595"/>
      <c r="J39" s="203"/>
      <c r="K39" s="46"/>
      <c r="L39" s="46"/>
      <c r="M39" s="29">
        <v>3100</v>
      </c>
      <c r="N39" s="26" t="s">
        <v>50</v>
      </c>
      <c r="O39" s="28">
        <f>+O38*0.25</f>
        <v>-12500000</v>
      </c>
      <c r="P39" s="127">
        <v>0</v>
      </c>
      <c r="Q39" s="127">
        <v>0</v>
      </c>
      <c r="R39" s="31">
        <f t="shared" si="0"/>
        <v>-12500000</v>
      </c>
      <c r="S39" s="184"/>
      <c r="T39" s="151" t="s">
        <v>315</v>
      </c>
      <c r="U39" s="29"/>
      <c r="V39" s="61"/>
      <c r="W39"/>
      <c r="X39"/>
      <c r="Y39"/>
      <c r="Z39"/>
      <c r="AA39"/>
      <c r="AB39"/>
      <c r="AC39"/>
      <c r="AD39"/>
      <c r="AE39"/>
      <c r="AF39"/>
      <c r="AG39"/>
      <c r="AH39"/>
      <c r="AI39"/>
      <c r="AJ39"/>
      <c r="AK39"/>
    </row>
    <row r="40" spans="1:37" s="47" customFormat="1">
      <c r="A40" s="595"/>
      <c r="B40" s="595"/>
      <c r="C40" s="595"/>
      <c r="D40" s="595"/>
      <c r="E40" s="595"/>
      <c r="F40" s="595"/>
      <c r="G40" s="595"/>
      <c r="H40" s="595"/>
      <c r="I40" s="595"/>
      <c r="J40" s="46"/>
      <c r="K40" s="46"/>
      <c r="L40" s="46"/>
      <c r="M40" s="46">
        <v>3300</v>
      </c>
      <c r="N40" s="44" t="s">
        <v>51</v>
      </c>
      <c r="O40" s="45">
        <v>-199494500</v>
      </c>
      <c r="P40" s="127">
        <v>0</v>
      </c>
      <c r="Q40" s="127">
        <v>0</v>
      </c>
      <c r="R40" s="31">
        <f t="shared" si="0"/>
        <v>-199494500</v>
      </c>
      <c r="S40" s="184"/>
      <c r="T40" s="152" t="s">
        <v>318</v>
      </c>
      <c r="U40" s="46"/>
      <c r="V40" s="61"/>
    </row>
    <row r="41" spans="1:37" s="47" customFormat="1">
      <c r="A41" s="595"/>
      <c r="B41" s="595"/>
      <c r="C41" s="595"/>
      <c r="D41" s="595"/>
      <c r="E41" s="595"/>
      <c r="F41" s="595"/>
      <c r="G41" s="595"/>
      <c r="H41" s="595"/>
      <c r="I41" s="595"/>
      <c r="J41" s="46"/>
      <c r="K41" s="46"/>
      <c r="L41" s="46"/>
      <c r="M41" s="46">
        <v>4000</v>
      </c>
      <c r="N41" s="44" t="s">
        <v>157</v>
      </c>
      <c r="O41" s="45">
        <v>-1500000000</v>
      </c>
      <c r="P41" s="127">
        <v>0</v>
      </c>
      <c r="Q41" s="127">
        <v>0</v>
      </c>
      <c r="R41" s="31">
        <f t="shared" si="0"/>
        <v>-1500000000</v>
      </c>
      <c r="S41" s="184"/>
      <c r="T41" s="152" t="s">
        <v>304</v>
      </c>
      <c r="U41" s="46"/>
      <c r="V41" s="57"/>
    </row>
    <row r="42" spans="1:37" s="47" customFormat="1">
      <c r="A42" s="361"/>
      <c r="B42" s="361"/>
      <c r="C42" s="361"/>
      <c r="D42" s="361"/>
      <c r="E42" s="361"/>
      <c r="F42" s="361"/>
      <c r="G42" s="361"/>
      <c r="H42" s="361"/>
      <c r="I42" s="361"/>
      <c r="J42" s="46"/>
      <c r="K42" s="46"/>
      <c r="L42" s="46"/>
      <c r="M42" s="46">
        <v>4100</v>
      </c>
      <c r="N42" s="44" t="s">
        <v>10</v>
      </c>
      <c r="O42" s="45">
        <v>-29000000</v>
      </c>
      <c r="P42" s="127">
        <v>0</v>
      </c>
      <c r="Q42" s="127">
        <v>0</v>
      </c>
      <c r="R42" s="31">
        <f t="shared" si="0"/>
        <v>-29000000</v>
      </c>
      <c r="S42" s="184"/>
      <c r="T42" s="152" t="s">
        <v>305</v>
      </c>
      <c r="U42" s="46"/>
      <c r="V42" s="61"/>
    </row>
    <row r="43" spans="1:37">
      <c r="M43" s="46">
        <v>5000</v>
      </c>
      <c r="N43" s="26" t="s">
        <v>13</v>
      </c>
      <c r="O43" s="28">
        <f>-O41*56%</f>
        <v>840000000.00000012</v>
      </c>
      <c r="P43" s="127">
        <v>0</v>
      </c>
      <c r="Q43" s="127">
        <v>0</v>
      </c>
      <c r="R43" s="31">
        <f t="shared" si="0"/>
        <v>840000000.00000012</v>
      </c>
      <c r="S43" s="184"/>
      <c r="T43" s="151" t="s">
        <v>308</v>
      </c>
      <c r="U43" s="29"/>
      <c r="V43" s="61"/>
      <c r="Y43" s="47"/>
      <c r="Z43" s="47"/>
      <c r="AA43" s="47"/>
      <c r="AB43" s="47"/>
      <c r="AC43" s="47"/>
      <c r="AD43" s="47"/>
      <c r="AE43" s="47"/>
      <c r="AF43" s="47"/>
      <c r="AG43" s="47"/>
      <c r="AH43" s="47"/>
      <c r="AI43" s="47"/>
      <c r="AJ43" s="47"/>
      <c r="AK43" s="47"/>
    </row>
    <row r="44" spans="1:37">
      <c r="M44" s="46">
        <v>5100</v>
      </c>
      <c r="N44" s="26" t="s">
        <v>158</v>
      </c>
      <c r="O44" s="28">
        <v>450000000</v>
      </c>
      <c r="P44" s="127">
        <v>0</v>
      </c>
      <c r="Q44" s="127">
        <v>0</v>
      </c>
      <c r="R44" s="31">
        <f t="shared" si="0"/>
        <v>450000000</v>
      </c>
      <c r="S44" s="184"/>
      <c r="T44" s="151" t="s">
        <v>309</v>
      </c>
      <c r="U44" s="29"/>
      <c r="V44" s="61"/>
    </row>
    <row r="45" spans="1:37">
      <c r="M45" s="46">
        <v>5150</v>
      </c>
      <c r="N45" s="44" t="s">
        <v>421</v>
      </c>
      <c r="O45" s="45">
        <v>2200000</v>
      </c>
      <c r="P45" s="127">
        <v>0</v>
      </c>
      <c r="Q45" s="127">
        <v>0</v>
      </c>
      <c r="R45" s="31">
        <f>+O45+P45-Q45</f>
        <v>2200000</v>
      </c>
      <c r="S45" s="184"/>
      <c r="T45" s="151" t="s">
        <v>279</v>
      </c>
      <c r="U45" s="46"/>
      <c r="V45" s="61"/>
      <c r="W45" s="47"/>
      <c r="X45" s="47"/>
    </row>
    <row r="46" spans="1:37">
      <c r="M46" s="46">
        <v>5160</v>
      </c>
      <c r="N46" s="44" t="s">
        <v>433</v>
      </c>
      <c r="O46" s="45">
        <v>0</v>
      </c>
      <c r="P46" s="127">
        <v>0</v>
      </c>
      <c r="Q46" s="127">
        <v>0</v>
      </c>
      <c r="R46" s="31">
        <f>+O46+P46-Q46</f>
        <v>0</v>
      </c>
      <c r="S46" s="184"/>
      <c r="T46" s="151" t="s">
        <v>279</v>
      </c>
      <c r="U46" s="46"/>
      <c r="V46" s="61"/>
      <c r="W46" s="47"/>
      <c r="X46" s="47"/>
    </row>
    <row r="47" spans="1:37">
      <c r="M47" s="46">
        <v>5200</v>
      </c>
      <c r="N47" s="26" t="s">
        <v>343</v>
      </c>
      <c r="O47" s="28">
        <v>85000000</v>
      </c>
      <c r="P47" s="127">
        <v>0</v>
      </c>
      <c r="Q47" s="127">
        <v>0</v>
      </c>
      <c r="R47" s="31">
        <f t="shared" si="0"/>
        <v>85000000</v>
      </c>
      <c r="S47" s="184"/>
      <c r="T47" s="151" t="s">
        <v>279</v>
      </c>
      <c r="U47" s="29"/>
      <c r="V47" s="57"/>
    </row>
    <row r="48" spans="1:37">
      <c r="M48" s="46">
        <v>5300</v>
      </c>
      <c r="N48" s="26" t="s">
        <v>344</v>
      </c>
      <c r="O48" s="28">
        <v>46000000</v>
      </c>
      <c r="P48" s="127">
        <v>0</v>
      </c>
      <c r="Q48" s="127">
        <v>0</v>
      </c>
      <c r="R48" s="31">
        <f t="shared" si="0"/>
        <v>46000000</v>
      </c>
      <c r="S48" s="184"/>
      <c r="T48" s="151" t="s">
        <v>310</v>
      </c>
      <c r="U48" s="29"/>
      <c r="V48" s="60"/>
    </row>
    <row r="49" spans="1:25">
      <c r="M49" s="46">
        <v>5400</v>
      </c>
      <c r="N49" s="26" t="s">
        <v>16</v>
      </c>
      <c r="O49" s="28">
        <v>0</v>
      </c>
      <c r="P49" s="127">
        <v>0</v>
      </c>
      <c r="Q49" s="127">
        <v>0</v>
      </c>
      <c r="R49" s="31">
        <f t="shared" si="0"/>
        <v>0</v>
      </c>
      <c r="S49" s="184"/>
      <c r="T49" s="151" t="s">
        <v>16</v>
      </c>
      <c r="U49" s="29"/>
      <c r="V49" s="57"/>
    </row>
    <row r="50" spans="1:25">
      <c r="M50" s="46">
        <v>6000</v>
      </c>
      <c r="N50" s="26" t="s">
        <v>159</v>
      </c>
      <c r="O50" s="28">
        <v>0</v>
      </c>
      <c r="P50" s="127">
        <v>0</v>
      </c>
      <c r="Q50" s="127">
        <v>0</v>
      </c>
      <c r="R50" s="31">
        <f t="shared" si="0"/>
        <v>0</v>
      </c>
      <c r="S50" s="184"/>
      <c r="T50" s="151" t="s">
        <v>312</v>
      </c>
      <c r="U50" s="29"/>
      <c r="V50" s="60"/>
    </row>
    <row r="51" spans="1:25">
      <c r="M51" s="46">
        <v>6050</v>
      </c>
      <c r="N51" s="26" t="s">
        <v>128</v>
      </c>
      <c r="O51" s="28">
        <v>-7800000</v>
      </c>
      <c r="P51" s="127">
        <v>0</v>
      </c>
      <c r="Q51" s="127">
        <v>0</v>
      </c>
      <c r="R51" s="31">
        <f t="shared" si="0"/>
        <v>-7800000</v>
      </c>
      <c r="S51" s="184"/>
      <c r="T51" s="151" t="s">
        <v>306</v>
      </c>
      <c r="U51" s="29"/>
      <c r="V51" s="60"/>
    </row>
    <row r="52" spans="1:25">
      <c r="M52" s="46">
        <v>6100</v>
      </c>
      <c r="N52" s="26" t="s">
        <v>21</v>
      </c>
      <c r="O52" s="28">
        <v>9600000</v>
      </c>
      <c r="P52" s="127">
        <v>0</v>
      </c>
      <c r="Q52" s="127">
        <v>0</v>
      </c>
      <c r="R52" s="31">
        <f t="shared" si="0"/>
        <v>9600000</v>
      </c>
      <c r="S52" s="184"/>
      <c r="T52" s="151" t="s">
        <v>307</v>
      </c>
      <c r="U52" s="29"/>
      <c r="V52" s="61"/>
    </row>
    <row r="53" spans="1:25">
      <c r="M53" s="29">
        <v>6200</v>
      </c>
      <c r="N53" s="26" t="s">
        <v>46</v>
      </c>
      <c r="O53" s="28">
        <v>0</v>
      </c>
      <c r="P53" s="127">
        <v>0</v>
      </c>
      <c r="Q53" s="127">
        <v>0</v>
      </c>
      <c r="R53" s="31">
        <f t="shared" si="0"/>
        <v>0</v>
      </c>
      <c r="S53" s="184"/>
      <c r="T53" s="151" t="s">
        <v>311</v>
      </c>
      <c r="U53" s="29"/>
      <c r="V53" s="61"/>
    </row>
    <row r="54" spans="1:25">
      <c r="M54" s="29"/>
      <c r="N54" s="32"/>
      <c r="O54" s="352">
        <f>SUM(O21:O53)</f>
        <v>1.1920928955078125E-7</v>
      </c>
      <c r="P54" s="33">
        <f>SUM(P21:P53)</f>
        <v>0</v>
      </c>
      <c r="Q54" s="33">
        <f>SUM(Q21:Q53)</f>
        <v>0</v>
      </c>
      <c r="R54" s="33">
        <f>SUM(R21:R53)</f>
        <v>1.1920928955078125E-7</v>
      </c>
      <c r="S54" s="29"/>
      <c r="T54" s="29"/>
      <c r="U54" s="29"/>
      <c r="V54" s="57"/>
    </row>
    <row r="55" spans="1:25">
      <c r="M55" s="29"/>
      <c r="N55" s="35"/>
      <c r="P55" s="36"/>
      <c r="Q55" s="36"/>
      <c r="R55" s="36"/>
      <c r="S55" s="29"/>
      <c r="T55" s="29"/>
      <c r="U55" s="29"/>
      <c r="V55" s="57"/>
    </row>
    <row r="56" spans="1:25">
      <c r="M56" s="29"/>
      <c r="N56" s="35"/>
      <c r="O56" s="353">
        <f>SUM(O41:O53)</f>
        <v>-103999999.99999988</v>
      </c>
      <c r="P56" s="36"/>
      <c r="Q56" s="36"/>
      <c r="R56" s="138">
        <f>SUM(R41:R53)</f>
        <v>-103999999.99999988</v>
      </c>
      <c r="S56" s="29" t="s">
        <v>416</v>
      </c>
      <c r="T56" s="30"/>
      <c r="U56" s="29"/>
      <c r="V56" s="60"/>
    </row>
    <row r="57" spans="1:25">
      <c r="A57" s="2">
        <v>1</v>
      </c>
      <c r="B57" s="49" t="s">
        <v>149</v>
      </c>
      <c r="M57" s="155" t="s">
        <v>260</v>
      </c>
      <c r="N57" s="163"/>
      <c r="O57" s="164"/>
      <c r="P57" s="164"/>
      <c r="Q57" s="164"/>
      <c r="R57" s="164"/>
      <c r="S57" s="159" t="s">
        <v>260</v>
      </c>
      <c r="T57" s="159"/>
      <c r="U57" s="159"/>
      <c r="V57" s="165"/>
      <c r="W57" s="156"/>
      <c r="X57" s="156"/>
    </row>
    <row r="58" spans="1:25">
      <c r="B58" s="28" t="s">
        <v>328</v>
      </c>
      <c r="M58" s="593" t="s">
        <v>163</v>
      </c>
      <c r="N58" s="593"/>
      <c r="O58" s="593"/>
      <c r="P58" s="593"/>
      <c r="Q58" s="593"/>
      <c r="R58" s="36"/>
      <c r="S58" s="29"/>
      <c r="T58" s="29"/>
      <c r="U58" s="29"/>
      <c r="V58" s="61"/>
    </row>
    <row r="59" spans="1:25">
      <c r="M59" s="50" t="s">
        <v>164</v>
      </c>
      <c r="N59" s="50" t="s">
        <v>165</v>
      </c>
      <c r="O59" s="50"/>
      <c r="P59" s="50" t="s">
        <v>160</v>
      </c>
      <c r="Q59" s="50" t="s">
        <v>161</v>
      </c>
      <c r="S59" s="52" t="s">
        <v>167</v>
      </c>
      <c r="T59" s="42"/>
      <c r="U59" s="42"/>
      <c r="V59" s="42"/>
      <c r="W59" s="42"/>
      <c r="X59" s="42"/>
      <c r="Y59" s="42"/>
    </row>
    <row r="60" spans="1:25">
      <c r="B60" s="592" t="s">
        <v>504</v>
      </c>
      <c r="C60" s="592"/>
      <c r="D60" s="592"/>
      <c r="E60" s="592"/>
      <c r="F60" s="592"/>
      <c r="G60" s="592"/>
      <c r="H60" s="592"/>
      <c r="I60" s="592"/>
      <c r="J60" s="205"/>
    </row>
    <row r="61" spans="1:25">
      <c r="B61" s="592"/>
      <c r="C61" s="592"/>
      <c r="D61" s="592"/>
      <c r="E61" s="592"/>
      <c r="F61" s="592"/>
      <c r="G61" s="592"/>
      <c r="H61" s="592"/>
      <c r="I61" s="592"/>
      <c r="J61" s="374"/>
    </row>
    <row r="62" spans="1:25">
      <c r="B62" s="592"/>
      <c r="C62" s="592"/>
      <c r="D62" s="592"/>
      <c r="E62" s="592"/>
      <c r="F62" s="592"/>
      <c r="G62" s="592"/>
      <c r="H62" s="592"/>
      <c r="I62" s="592"/>
      <c r="J62" s="205"/>
      <c r="M62" s="51"/>
      <c r="N62" s="51"/>
      <c r="O62" s="51"/>
      <c r="P62" s="130"/>
      <c r="Q62" s="130"/>
    </row>
    <row r="63" spans="1:25">
      <c r="B63" s="592" t="s">
        <v>425</v>
      </c>
      <c r="C63" s="592"/>
      <c r="D63" s="592"/>
      <c r="E63" s="592"/>
      <c r="F63" s="592"/>
      <c r="G63" s="592"/>
      <c r="H63" s="592"/>
      <c r="I63" s="592"/>
      <c r="M63" s="51"/>
      <c r="N63" s="51"/>
      <c r="O63" s="51"/>
      <c r="P63" s="130"/>
      <c r="Q63" s="130"/>
    </row>
    <row r="64" spans="1:25" ht="15" customHeight="1">
      <c r="B64" s="592"/>
      <c r="C64" s="592"/>
      <c r="D64" s="592"/>
      <c r="E64" s="592"/>
      <c r="F64" s="592"/>
      <c r="G64" s="592"/>
      <c r="H64" s="592"/>
      <c r="I64" s="592"/>
      <c r="M64" s="51"/>
      <c r="N64" s="51"/>
      <c r="O64" s="51"/>
      <c r="P64" s="130"/>
      <c r="Q64" s="130"/>
    </row>
    <row r="65" spans="1:39">
      <c r="M65" s="51"/>
      <c r="N65" s="51"/>
      <c r="O65" s="51"/>
      <c r="P65" s="130"/>
      <c r="Q65" s="130"/>
    </row>
    <row r="66" spans="1:39">
      <c r="A66" s="2">
        <v>2</v>
      </c>
      <c r="B66" s="49" t="s">
        <v>341</v>
      </c>
      <c r="M66" s="51"/>
      <c r="N66" s="51"/>
      <c r="O66" s="51"/>
      <c r="P66" s="130"/>
      <c r="Q66" s="130"/>
    </row>
    <row r="67" spans="1:39">
      <c r="B67" s="53" t="s">
        <v>398</v>
      </c>
      <c r="M67" s="51"/>
      <c r="N67" s="51"/>
      <c r="O67" s="51"/>
      <c r="P67" s="130"/>
      <c r="Q67" s="130"/>
    </row>
    <row r="68" spans="1:39" ht="28.5" customHeight="1">
      <c r="C68" s="53" t="s">
        <v>407</v>
      </c>
      <c r="D68" s="204" t="s">
        <v>400</v>
      </c>
      <c r="E68" s="204" t="s">
        <v>406</v>
      </c>
      <c r="F68" s="204" t="s">
        <v>678</v>
      </c>
      <c r="G68" s="204" t="s">
        <v>342</v>
      </c>
      <c r="H68" s="363" t="s">
        <v>453</v>
      </c>
      <c r="I68" s="204" t="s">
        <v>403</v>
      </c>
      <c r="J68" s="204" t="s">
        <v>404</v>
      </c>
      <c r="K68" s="204" t="s">
        <v>405</v>
      </c>
      <c r="L68" s="357"/>
      <c r="M68" s="51"/>
      <c r="N68" s="51"/>
      <c r="O68" s="51"/>
      <c r="P68" s="130"/>
      <c r="Q68" s="130"/>
      <c r="R68" s="4"/>
    </row>
    <row r="69" spans="1:39">
      <c r="C69" s="53"/>
      <c r="D69" s="375"/>
      <c r="E69" s="375"/>
      <c r="F69" s="375"/>
      <c r="G69" s="375"/>
      <c r="H69" s="363"/>
      <c r="I69" s="375"/>
      <c r="J69" s="375"/>
      <c r="K69" s="375"/>
      <c r="L69" s="375"/>
      <c r="M69" s="51"/>
      <c r="N69" s="51"/>
      <c r="O69" s="51"/>
      <c r="P69" s="130"/>
      <c r="Q69" s="130"/>
    </row>
    <row r="70" spans="1:39" ht="33.75" customHeight="1">
      <c r="B70" s="53" t="s">
        <v>397</v>
      </c>
      <c r="C70" s="53">
        <v>59000000</v>
      </c>
      <c r="D70" s="53" t="s">
        <v>401</v>
      </c>
      <c r="E70" s="310">
        <v>438.4</v>
      </c>
      <c r="F70" s="310">
        <v>446</v>
      </c>
      <c r="G70" s="311">
        <v>5.3999999999999999E-2</v>
      </c>
      <c r="H70" s="379" t="s">
        <v>454</v>
      </c>
      <c r="I70" s="312">
        <v>43800</v>
      </c>
      <c r="J70" s="313">
        <v>12</v>
      </c>
      <c r="K70" s="29">
        <v>48</v>
      </c>
      <c r="M70" s="51"/>
      <c r="N70" s="51"/>
      <c r="O70" s="51"/>
      <c r="P70" s="130"/>
      <c r="Q70" s="130"/>
    </row>
    <row r="71" spans="1:39" ht="15" customHeight="1">
      <c r="B71" s="53" t="s">
        <v>399</v>
      </c>
      <c r="C71" s="53">
        <v>67000000</v>
      </c>
      <c r="D71" s="53" t="s">
        <v>402</v>
      </c>
      <c r="E71" s="362" t="s">
        <v>366</v>
      </c>
      <c r="F71" s="362" t="s">
        <v>366</v>
      </c>
      <c r="G71" s="311">
        <v>8.2000000000000003E-2</v>
      </c>
      <c r="H71" s="379" t="s">
        <v>455</v>
      </c>
      <c r="I71" s="312">
        <v>43617</v>
      </c>
      <c r="J71" s="313">
        <v>2</v>
      </c>
      <c r="K71" s="185">
        <v>10</v>
      </c>
      <c r="M71" s="51"/>
      <c r="N71" s="51"/>
      <c r="O71" s="51"/>
      <c r="P71" s="130"/>
      <c r="Q71" s="130"/>
      <c r="R71" s="9"/>
      <c r="AL71" s="29"/>
    </row>
    <row r="72" spans="1:39" ht="17.25" customHeight="1">
      <c r="B72" s="309"/>
      <c r="C72" s="309">
        <f>SUM(C70:C71)</f>
        <v>126000000</v>
      </c>
      <c r="D72" s="309"/>
      <c r="E72" s="309"/>
      <c r="F72" s="309"/>
      <c r="G72" s="309"/>
      <c r="H72" s="309"/>
      <c r="I72" s="309"/>
      <c r="J72" s="309"/>
      <c r="K72" s="34"/>
      <c r="L72" s="136"/>
      <c r="M72" s="51"/>
      <c r="N72" s="51"/>
      <c r="O72" s="51"/>
      <c r="P72" s="130"/>
      <c r="Q72" s="130"/>
      <c r="R72" s="9"/>
      <c r="AI72" s="29"/>
      <c r="AJ72" s="29"/>
      <c r="AK72" s="29"/>
      <c r="AL72" s="29"/>
    </row>
    <row r="73" spans="1:39">
      <c r="B73" s="53"/>
      <c r="C73" s="53"/>
      <c r="D73" s="53"/>
      <c r="E73" s="53"/>
      <c r="F73" s="53"/>
      <c r="G73" s="53"/>
      <c r="H73" s="53"/>
      <c r="I73" s="53"/>
      <c r="J73" s="53"/>
      <c r="M73" s="51"/>
      <c r="N73" s="51"/>
      <c r="O73" s="51"/>
      <c r="P73" s="130"/>
      <c r="Q73" s="130"/>
      <c r="R73" s="9"/>
      <c r="AI73" s="29"/>
      <c r="AJ73" s="29"/>
      <c r="AK73" s="29"/>
      <c r="AL73" s="29"/>
    </row>
    <row r="74" spans="1:39">
      <c r="B74" s="53" t="s">
        <v>679</v>
      </c>
      <c r="C74" s="53"/>
      <c r="D74" s="53"/>
      <c r="E74" s="53"/>
      <c r="F74" s="53"/>
      <c r="G74" s="53"/>
      <c r="H74" s="53"/>
      <c r="I74" s="53"/>
      <c r="J74" s="53"/>
      <c r="M74" s="51"/>
      <c r="N74" s="51"/>
      <c r="O74" s="51"/>
      <c r="P74" s="130"/>
      <c r="Q74" s="130"/>
      <c r="R74" s="9"/>
      <c r="AI74" s="29"/>
      <c r="AJ74" s="29"/>
      <c r="AK74" s="29"/>
      <c r="AL74" s="29"/>
    </row>
    <row r="75" spans="1:39">
      <c r="B75" s="53" t="s">
        <v>680</v>
      </c>
      <c r="C75" s="53"/>
      <c r="D75" s="53"/>
      <c r="E75" s="53"/>
      <c r="F75" s="53"/>
      <c r="G75" s="53"/>
      <c r="H75" s="53"/>
      <c r="I75" s="53"/>
      <c r="J75" s="53"/>
      <c r="M75" s="51"/>
      <c r="N75" s="51"/>
      <c r="O75" s="51"/>
      <c r="P75" s="130"/>
      <c r="Q75" s="130"/>
      <c r="R75" s="9"/>
      <c r="AI75" s="29"/>
      <c r="AJ75" s="29"/>
      <c r="AK75" s="29"/>
      <c r="AL75" s="29"/>
    </row>
    <row r="76" spans="1:39" ht="12.75" customHeight="1">
      <c r="B76" s="136"/>
      <c r="C76" s="37"/>
      <c r="D76" s="180"/>
      <c r="E76" s="135"/>
      <c r="F76" s="135"/>
      <c r="G76" s="135"/>
      <c r="H76" s="135"/>
      <c r="I76" s="136"/>
      <c r="J76" s="136"/>
      <c r="M76" s="51"/>
      <c r="N76" s="51"/>
      <c r="O76" s="51"/>
      <c r="P76" s="130"/>
      <c r="Q76" s="130"/>
      <c r="R76" s="9"/>
      <c r="AI76" s="29"/>
      <c r="AJ76" s="29"/>
      <c r="AK76" s="29"/>
      <c r="AL76" s="29"/>
    </row>
    <row r="77" spans="1:39">
      <c r="B77" s="136"/>
      <c r="C77" s="37"/>
      <c r="D77" s="180"/>
      <c r="E77" s="135"/>
      <c r="F77" s="135"/>
      <c r="G77" s="135"/>
      <c r="H77" s="135"/>
      <c r="I77" s="136"/>
      <c r="J77" s="136"/>
      <c r="M77" s="51"/>
      <c r="N77" s="51"/>
      <c r="O77" s="51"/>
      <c r="P77" s="130"/>
      <c r="Q77" s="130"/>
      <c r="R77" s="9"/>
      <c r="AI77" s="29"/>
      <c r="AJ77" s="29"/>
      <c r="AK77" s="29"/>
      <c r="AL77" s="29"/>
    </row>
    <row r="78" spans="1:39">
      <c r="A78" s="2">
        <v>3</v>
      </c>
      <c r="B78" s="49" t="s">
        <v>460</v>
      </c>
      <c r="J78" s="136"/>
      <c r="M78" s="51"/>
      <c r="N78" s="51"/>
      <c r="O78" s="51"/>
      <c r="P78" s="130"/>
      <c r="Q78" s="130"/>
      <c r="R78" s="9"/>
      <c r="AI78" s="29"/>
      <c r="AJ78" s="29"/>
      <c r="AK78" s="29"/>
      <c r="AL78" s="29"/>
      <c r="AM78" s="29"/>
    </row>
    <row r="79" spans="1:39">
      <c r="J79" s="136"/>
      <c r="M79" s="51"/>
      <c r="N79" s="51"/>
      <c r="O79" s="131"/>
      <c r="P79" s="130"/>
      <c r="Q79" s="130"/>
      <c r="R79" s="9"/>
      <c r="AI79" s="29"/>
      <c r="AJ79" s="29"/>
      <c r="AK79" s="29"/>
      <c r="AL79" s="29"/>
      <c r="AM79" s="29"/>
    </row>
    <row r="80" spans="1:39">
      <c r="A80" s="2"/>
      <c r="B80" s="569" t="s">
        <v>681</v>
      </c>
      <c r="C80" s="569"/>
      <c r="D80" s="569"/>
      <c r="E80" s="569"/>
      <c r="F80" s="569"/>
      <c r="G80" s="569"/>
      <c r="H80" s="569"/>
      <c r="I80" s="569"/>
      <c r="J80" s="136"/>
      <c r="M80" s="51"/>
      <c r="N80" s="51"/>
      <c r="O80" s="51"/>
      <c r="P80" s="130"/>
      <c r="Q80" s="130"/>
      <c r="R80" s="9"/>
      <c r="AI80" s="29"/>
      <c r="AJ80" s="29"/>
      <c r="AK80" s="29"/>
      <c r="AL80" s="29"/>
      <c r="AM80" s="29"/>
    </row>
    <row r="81" spans="1:39" ht="17.25" customHeight="1">
      <c r="A81" s="2"/>
      <c r="B81" s="569"/>
      <c r="C81" s="569"/>
      <c r="D81" s="569"/>
      <c r="E81" s="569"/>
      <c r="F81" s="569"/>
      <c r="G81" s="569"/>
      <c r="H81" s="569"/>
      <c r="I81" s="569"/>
      <c r="J81" s="136"/>
      <c r="M81" s="51"/>
      <c r="N81" s="51"/>
      <c r="O81" s="51"/>
      <c r="P81" s="130"/>
      <c r="Q81" s="130"/>
      <c r="R81" s="9"/>
      <c r="AI81" s="29"/>
      <c r="AJ81" s="29"/>
      <c r="AK81" s="29"/>
      <c r="AL81" s="29"/>
      <c r="AM81" s="29"/>
    </row>
    <row r="82" spans="1:39">
      <c r="A82" s="2"/>
      <c r="B82" s="569"/>
      <c r="C82" s="569"/>
      <c r="D82" s="569"/>
      <c r="E82" s="569"/>
      <c r="F82" s="569"/>
      <c r="G82" s="569"/>
      <c r="H82" s="569"/>
      <c r="I82" s="569"/>
      <c r="J82" s="136"/>
      <c r="M82" s="51"/>
      <c r="N82" s="51"/>
      <c r="O82" s="51"/>
      <c r="P82" s="130"/>
      <c r="Q82" s="130"/>
      <c r="R82" s="9"/>
      <c r="AI82" s="29"/>
      <c r="AJ82" s="29"/>
      <c r="AK82" s="29"/>
      <c r="AL82" s="29"/>
      <c r="AM82" s="29"/>
    </row>
    <row r="83" spans="1:39">
      <c r="B83" s="569"/>
      <c r="C83" s="569"/>
      <c r="D83" s="569"/>
      <c r="E83" s="569"/>
      <c r="F83" s="569"/>
      <c r="G83" s="569"/>
      <c r="H83" s="569"/>
      <c r="I83" s="569"/>
      <c r="J83" s="136"/>
      <c r="M83" s="51"/>
      <c r="N83" s="51"/>
      <c r="O83" s="51"/>
      <c r="P83" s="130"/>
      <c r="Q83" s="130"/>
      <c r="R83" s="9"/>
      <c r="AI83" s="29"/>
      <c r="AJ83" s="29"/>
      <c r="AK83" s="29"/>
      <c r="AL83" s="29"/>
      <c r="AM83" s="29"/>
    </row>
    <row r="84" spans="1:39">
      <c r="B84" s="136"/>
      <c r="C84" s="37"/>
      <c r="D84" s="180"/>
      <c r="E84" s="135"/>
      <c r="F84" s="135"/>
      <c r="G84" s="135"/>
      <c r="H84" s="135"/>
      <c r="I84" s="136"/>
      <c r="J84" s="136"/>
      <c r="M84" s="51"/>
      <c r="N84" s="51"/>
      <c r="O84" s="131"/>
      <c r="P84" s="130"/>
      <c r="Q84" s="130"/>
      <c r="R84" s="9"/>
      <c r="AI84" s="29"/>
      <c r="AJ84" s="29"/>
      <c r="AK84" s="29"/>
      <c r="AL84" s="29"/>
      <c r="AM84" s="29"/>
    </row>
    <row r="85" spans="1:39">
      <c r="A85" s="214">
        <v>4</v>
      </c>
      <c r="B85" s="383" t="s">
        <v>168</v>
      </c>
      <c r="C85" s="31"/>
      <c r="D85" s="31"/>
      <c r="E85" s="31"/>
      <c r="F85" s="31"/>
      <c r="G85" s="31"/>
      <c r="H85" s="31"/>
      <c r="I85" s="30"/>
      <c r="J85" s="30"/>
      <c r="M85" s="51"/>
      <c r="N85" s="51"/>
      <c r="O85" s="51"/>
      <c r="P85" s="130"/>
      <c r="Q85" s="130"/>
      <c r="R85" s="9"/>
      <c r="AI85" s="29"/>
      <c r="AJ85" s="29"/>
      <c r="AK85" s="29"/>
      <c r="AL85" s="29"/>
      <c r="AM85" s="29"/>
    </row>
    <row r="86" spans="1:39">
      <c r="A86" s="30"/>
      <c r="B86" s="31"/>
      <c r="C86" s="31"/>
      <c r="D86" s="31"/>
      <c r="E86" s="31"/>
      <c r="F86" s="31"/>
      <c r="G86" s="31"/>
      <c r="H86" s="31"/>
      <c r="I86" s="30"/>
      <c r="J86" s="30"/>
      <c r="M86" s="51"/>
      <c r="N86" s="51"/>
      <c r="O86" s="51"/>
      <c r="P86" s="130"/>
      <c r="Q86" s="130"/>
      <c r="R86" s="9"/>
      <c r="AI86" s="29"/>
      <c r="AJ86" s="29"/>
      <c r="AK86" s="29"/>
      <c r="AL86" s="29"/>
      <c r="AM86" s="29"/>
    </row>
    <row r="87" spans="1:39" ht="15" customHeight="1">
      <c r="A87" s="30"/>
      <c r="B87" s="589" t="s">
        <v>682</v>
      </c>
      <c r="C87" s="589"/>
      <c r="D87" s="589"/>
      <c r="E87" s="589"/>
      <c r="F87" s="589"/>
      <c r="G87" s="589"/>
      <c r="H87" s="589"/>
      <c r="I87" s="589"/>
      <c r="J87" s="436"/>
      <c r="M87" s="51"/>
      <c r="N87" s="51"/>
      <c r="O87" s="51"/>
      <c r="P87" s="130"/>
      <c r="Q87" s="130"/>
      <c r="R87" s="9"/>
      <c r="AI87" s="29"/>
      <c r="AJ87" s="29"/>
      <c r="AK87" s="29"/>
      <c r="AL87" s="29"/>
      <c r="AM87" s="29"/>
    </row>
    <row r="88" spans="1:39">
      <c r="A88" s="30"/>
      <c r="B88" s="589"/>
      <c r="C88" s="589"/>
      <c r="D88" s="589"/>
      <c r="E88" s="589"/>
      <c r="F88" s="589"/>
      <c r="G88" s="589"/>
      <c r="H88" s="589"/>
      <c r="I88" s="589"/>
      <c r="J88" s="436"/>
      <c r="M88" s="51"/>
      <c r="N88" s="51"/>
      <c r="O88" s="51"/>
      <c r="P88" s="130"/>
      <c r="Q88" s="130"/>
      <c r="R88" s="9"/>
      <c r="AI88" s="29"/>
      <c r="AJ88" s="29"/>
      <c r="AK88" s="29"/>
      <c r="AL88" s="29"/>
      <c r="AM88" s="29"/>
    </row>
    <row r="89" spans="1:39">
      <c r="A89" s="30"/>
      <c r="B89" s="589"/>
      <c r="C89" s="589"/>
      <c r="D89" s="589"/>
      <c r="E89" s="589"/>
      <c r="F89" s="589"/>
      <c r="G89" s="589"/>
      <c r="H89" s="589"/>
      <c r="I89" s="589"/>
      <c r="J89" s="436"/>
      <c r="M89" s="51"/>
      <c r="N89" s="51"/>
      <c r="O89" s="51"/>
      <c r="P89" s="130"/>
      <c r="Q89" s="130"/>
      <c r="R89" s="9"/>
      <c r="AI89" s="29"/>
      <c r="AJ89" s="29"/>
      <c r="AK89" s="29"/>
      <c r="AL89" s="29"/>
      <c r="AM89" s="29"/>
    </row>
    <row r="90" spans="1:39">
      <c r="A90" s="30"/>
      <c r="B90" s="589"/>
      <c r="C90" s="589"/>
      <c r="D90" s="589"/>
      <c r="E90" s="589"/>
      <c r="F90" s="589"/>
      <c r="G90" s="589"/>
      <c r="H90" s="589"/>
      <c r="I90" s="589"/>
      <c r="J90" s="436"/>
      <c r="M90" s="51"/>
      <c r="N90" s="51"/>
      <c r="O90" s="51"/>
      <c r="P90" s="130"/>
      <c r="Q90" s="130"/>
      <c r="R90" s="9"/>
      <c r="AI90" s="29"/>
      <c r="AJ90" s="29"/>
      <c r="AK90" s="29"/>
      <c r="AL90" s="29"/>
      <c r="AM90" s="29"/>
    </row>
    <row r="91" spans="1:39">
      <c r="A91" s="30"/>
      <c r="B91" s="589"/>
      <c r="C91" s="589"/>
      <c r="D91" s="589"/>
      <c r="E91" s="589"/>
      <c r="F91" s="589"/>
      <c r="G91" s="589"/>
      <c r="H91" s="589"/>
      <c r="I91" s="589"/>
      <c r="J91" s="436"/>
      <c r="M91" s="51"/>
      <c r="N91" s="51"/>
      <c r="O91" s="51"/>
      <c r="P91" s="130"/>
      <c r="Q91" s="130"/>
      <c r="R91" s="9"/>
      <c r="AI91" s="29"/>
      <c r="AJ91" s="29"/>
      <c r="AK91" s="29"/>
      <c r="AL91" s="29"/>
    </row>
    <row r="92" spans="1:39">
      <c r="A92" s="30"/>
      <c r="B92" s="384"/>
      <c r="C92" s="384"/>
      <c r="D92" s="384"/>
      <c r="E92" s="384"/>
      <c r="F92" s="384"/>
      <c r="G92" s="384"/>
      <c r="H92" s="384"/>
      <c r="I92" s="384"/>
      <c r="J92" s="385" t="s">
        <v>335</v>
      </c>
      <c r="M92" s="51"/>
      <c r="N92" s="51"/>
      <c r="O92" s="51"/>
      <c r="P92" s="130"/>
      <c r="Q92" s="130"/>
      <c r="R92" s="9"/>
      <c r="AI92" s="29"/>
      <c r="AJ92" s="29"/>
      <c r="AK92" s="29"/>
      <c r="AL92" s="29"/>
    </row>
    <row r="93" spans="1:39">
      <c r="A93" s="30"/>
      <c r="B93" s="591" t="s">
        <v>683</v>
      </c>
      <c r="C93" s="591"/>
      <c r="D93" s="591"/>
      <c r="E93" s="591"/>
      <c r="F93" s="591"/>
      <c r="G93" s="591"/>
      <c r="H93" s="591"/>
      <c r="I93" s="591"/>
      <c r="J93" s="385"/>
      <c r="M93" s="51"/>
      <c r="N93" s="51"/>
      <c r="O93" s="51"/>
      <c r="P93" s="130"/>
      <c r="Q93" s="130"/>
      <c r="R93" s="9"/>
      <c r="AI93" s="29"/>
      <c r="AJ93" s="29"/>
      <c r="AK93" s="29"/>
      <c r="AL93" s="29"/>
    </row>
    <row r="94" spans="1:39">
      <c r="A94" s="30"/>
      <c r="B94" s="591"/>
      <c r="C94" s="591"/>
      <c r="D94" s="591"/>
      <c r="E94" s="591"/>
      <c r="F94" s="591"/>
      <c r="G94" s="591"/>
      <c r="H94" s="591"/>
      <c r="I94" s="591"/>
      <c r="J94" s="385"/>
      <c r="M94" s="51"/>
      <c r="N94" s="51"/>
      <c r="O94" s="51"/>
      <c r="P94" s="562">
        <f>SUM(P62:P93)</f>
        <v>0</v>
      </c>
      <c r="Q94" s="562">
        <f>SUM(Q62:Q93)</f>
        <v>0</v>
      </c>
      <c r="R94" s="9"/>
      <c r="AI94" s="29"/>
      <c r="AJ94" s="29"/>
      <c r="AK94" s="29"/>
      <c r="AL94" s="29"/>
    </row>
    <row r="95" spans="1:39" ht="15" customHeight="1">
      <c r="A95" s="30"/>
      <c r="B95" s="589" t="s">
        <v>456</v>
      </c>
      <c r="C95" s="589"/>
      <c r="D95" s="589"/>
      <c r="E95" s="589"/>
      <c r="F95" s="589"/>
      <c r="G95" s="589"/>
      <c r="H95" s="589"/>
      <c r="I95" s="589"/>
      <c r="J95" s="359"/>
      <c r="R95" s="9"/>
      <c r="AI95" s="29"/>
      <c r="AJ95" s="29"/>
      <c r="AK95" s="29"/>
      <c r="AL95" s="29"/>
    </row>
    <row r="96" spans="1:39" ht="15" customHeight="1">
      <c r="A96" s="30"/>
      <c r="B96" s="589"/>
      <c r="C96" s="589"/>
      <c r="D96" s="589"/>
      <c r="E96" s="589"/>
      <c r="F96" s="589"/>
      <c r="G96" s="589"/>
      <c r="H96" s="589"/>
      <c r="I96" s="589"/>
      <c r="J96" s="359"/>
      <c r="R96" s="9"/>
      <c r="AI96" s="29"/>
      <c r="AJ96" s="29"/>
      <c r="AK96" s="29"/>
      <c r="AL96" s="29"/>
    </row>
    <row r="97" spans="1:39" ht="15" customHeight="1">
      <c r="B97" s="222"/>
      <c r="C97" s="222"/>
      <c r="D97" s="222"/>
      <c r="E97" s="222"/>
      <c r="F97" s="222"/>
      <c r="G97" s="222"/>
      <c r="H97" s="375"/>
      <c r="I97" s="222"/>
      <c r="J97" s="222"/>
      <c r="M97" s="38"/>
      <c r="N97" s="38"/>
      <c r="O97" s="38"/>
      <c r="R97" s="9"/>
      <c r="AI97" s="29"/>
      <c r="AJ97" s="29"/>
      <c r="AK97" s="29"/>
      <c r="AL97" s="29"/>
    </row>
    <row r="98" spans="1:39" ht="15" customHeight="1">
      <c r="A98" s="29">
        <v>5</v>
      </c>
      <c r="B98" s="49" t="s">
        <v>139</v>
      </c>
      <c r="C98" s="181"/>
      <c r="D98" s="181"/>
      <c r="E98" s="181"/>
      <c r="F98" s="181"/>
      <c r="G98" s="181"/>
      <c r="H98" s="375"/>
      <c r="I98" s="181"/>
      <c r="J98" s="204"/>
      <c r="M98" s="38"/>
      <c r="N98" s="38"/>
      <c r="O98" s="38"/>
      <c r="R98" s="9"/>
      <c r="AI98" s="29"/>
      <c r="AJ98" s="29"/>
      <c r="AK98" s="29"/>
      <c r="AL98" s="29"/>
    </row>
    <row r="99" spans="1:39" ht="15" customHeight="1">
      <c r="C99" s="181"/>
      <c r="D99" s="181"/>
      <c r="E99" s="181"/>
      <c r="F99" s="181"/>
      <c r="G99" s="181"/>
      <c r="H99" s="375"/>
      <c r="I99" s="181"/>
      <c r="J99" s="204"/>
      <c r="M99" s="38"/>
      <c r="N99" s="38"/>
      <c r="O99" s="38"/>
      <c r="AI99" s="29"/>
      <c r="AJ99" s="29"/>
      <c r="AK99" s="29"/>
      <c r="AL99" s="29"/>
    </row>
    <row r="100" spans="1:39" ht="15" customHeight="1">
      <c r="B100" s="591" t="s">
        <v>505</v>
      </c>
      <c r="C100" s="591"/>
      <c r="D100" s="591"/>
      <c r="E100" s="591"/>
      <c r="F100" s="591"/>
      <c r="G100" s="591"/>
      <c r="H100" s="591"/>
      <c r="I100" s="591"/>
      <c r="J100" s="204"/>
      <c r="M100" s="380"/>
      <c r="N100" s="381"/>
      <c r="O100" s="38"/>
      <c r="AI100" s="29"/>
      <c r="AJ100" s="29"/>
      <c r="AK100" s="29"/>
      <c r="AL100" s="29"/>
    </row>
    <row r="101" spans="1:39" ht="15" customHeight="1">
      <c r="B101" s="591"/>
      <c r="C101" s="591"/>
      <c r="D101" s="591"/>
      <c r="E101" s="591"/>
      <c r="F101" s="591"/>
      <c r="G101" s="591"/>
      <c r="H101" s="591"/>
      <c r="I101" s="591"/>
      <c r="J101" s="204"/>
      <c r="M101" s="380"/>
      <c r="N101" s="381"/>
      <c r="O101" s="38"/>
      <c r="AI101" s="29"/>
      <c r="AJ101" s="29"/>
      <c r="AK101" s="29"/>
      <c r="AL101" s="29"/>
      <c r="AM101" s="29"/>
    </row>
    <row r="102" spans="1:39" ht="15" customHeight="1">
      <c r="D102" s="363" t="s">
        <v>351</v>
      </c>
      <c r="E102" s="363" t="s">
        <v>352</v>
      </c>
      <c r="F102" s="181"/>
      <c r="G102" s="382"/>
      <c r="H102" s="382"/>
      <c r="I102" s="382"/>
      <c r="J102" s="204"/>
      <c r="M102" s="38"/>
      <c r="N102" s="38"/>
      <c r="O102" s="38"/>
      <c r="AI102" s="29"/>
      <c r="AJ102" s="29"/>
      <c r="AK102" s="29"/>
      <c r="AL102" s="29"/>
      <c r="AM102" s="29"/>
    </row>
    <row r="103" spans="1:39" ht="15" customHeight="1">
      <c r="B103" s="28" t="s">
        <v>459</v>
      </c>
      <c r="D103" s="363">
        <v>2500000</v>
      </c>
      <c r="E103" s="363"/>
      <c r="F103" s="375"/>
      <c r="G103" s="382"/>
      <c r="H103" s="382"/>
      <c r="I103" s="382"/>
      <c r="J103" s="375"/>
      <c r="K103" s="28"/>
      <c r="M103" s="38"/>
      <c r="N103" s="38"/>
      <c r="O103" s="38"/>
      <c r="AI103" s="29"/>
      <c r="AJ103" s="29"/>
      <c r="AK103" s="29"/>
      <c r="AL103" s="29"/>
      <c r="AM103" s="29"/>
    </row>
    <row r="104" spans="1:39" ht="15" customHeight="1">
      <c r="B104" s="28" t="s">
        <v>457</v>
      </c>
      <c r="D104" s="363">
        <v>25000000</v>
      </c>
      <c r="E104" s="364">
        <v>0.5</v>
      </c>
      <c r="F104" s="222"/>
      <c r="G104" s="222"/>
      <c r="H104" s="375"/>
      <c r="I104" s="222"/>
      <c r="J104" s="222"/>
      <c r="M104" s="38"/>
      <c r="N104" s="38"/>
      <c r="O104" s="38"/>
      <c r="S104" s="136"/>
      <c r="T104" s="4"/>
      <c r="W104" s="29"/>
      <c r="X104" s="29"/>
      <c r="Y104" s="29"/>
      <c r="Z104" s="29"/>
      <c r="AA104" s="29"/>
      <c r="AB104" s="29"/>
      <c r="AC104" s="29"/>
      <c r="AD104" s="29"/>
      <c r="AE104" s="29"/>
      <c r="AF104" s="29"/>
      <c r="AG104" s="29"/>
      <c r="AH104" s="29"/>
      <c r="AI104" s="29"/>
      <c r="AJ104" s="29"/>
      <c r="AK104" s="29"/>
      <c r="AL104" s="29"/>
      <c r="AM104" s="29"/>
    </row>
    <row r="105" spans="1:39" ht="15" customHeight="1">
      <c r="B105" s="28" t="s">
        <v>458</v>
      </c>
      <c r="D105" s="181"/>
      <c r="E105" s="182">
        <v>0.02</v>
      </c>
      <c r="F105" s="181"/>
      <c r="G105" s="181"/>
      <c r="H105" s="375"/>
      <c r="I105" s="181"/>
      <c r="J105" s="204"/>
      <c r="S105" s="136"/>
      <c r="T105" s="4"/>
      <c r="W105" s="29"/>
      <c r="X105" s="29"/>
      <c r="Y105" s="29"/>
      <c r="Z105" s="29"/>
      <c r="AA105" s="29"/>
      <c r="AB105" s="29"/>
      <c r="AC105" s="29"/>
      <c r="AD105" s="29"/>
      <c r="AE105" s="29"/>
      <c r="AF105" s="29"/>
      <c r="AG105" s="29"/>
      <c r="AH105" s="29"/>
      <c r="AI105" s="29"/>
      <c r="AJ105" s="29"/>
      <c r="AK105" s="29"/>
      <c r="AL105" s="29"/>
      <c r="AM105" s="29"/>
    </row>
    <row r="106" spans="1:39" ht="15" customHeight="1">
      <c r="C106" s="183"/>
      <c r="D106" s="181"/>
      <c r="E106" s="181"/>
      <c r="F106" s="181"/>
      <c r="G106" s="181"/>
      <c r="H106" s="375"/>
      <c r="I106" s="181"/>
      <c r="J106" s="204"/>
      <c r="S106" s="136"/>
      <c r="T106" s="4"/>
      <c r="W106" s="29"/>
      <c r="X106" s="29"/>
      <c r="Y106" s="29"/>
      <c r="Z106" s="29"/>
      <c r="AA106" s="29"/>
      <c r="AB106" s="29"/>
      <c r="AC106" s="29"/>
      <c r="AD106" s="29"/>
      <c r="AE106" s="29"/>
      <c r="AF106" s="29"/>
      <c r="AG106" s="29"/>
      <c r="AH106" s="29"/>
      <c r="AI106" s="29"/>
      <c r="AJ106" s="29"/>
      <c r="AK106" s="29"/>
      <c r="AL106" s="29"/>
      <c r="AM106" s="29"/>
    </row>
    <row r="107" spans="1:39" ht="15" customHeight="1">
      <c r="B107" s="590" t="s">
        <v>684</v>
      </c>
      <c r="C107" s="590"/>
      <c r="D107" s="590"/>
      <c r="E107" s="590"/>
      <c r="F107" s="590"/>
      <c r="G107" s="590"/>
      <c r="H107" s="590"/>
      <c r="I107" s="590"/>
      <c r="J107" s="204"/>
      <c r="K107" s="30"/>
      <c r="S107" s="46"/>
      <c r="T107" s="4"/>
      <c r="W107" s="29"/>
      <c r="X107" s="29"/>
      <c r="Y107" s="29"/>
      <c r="Z107" s="29"/>
      <c r="AA107" s="29"/>
      <c r="AB107" s="29"/>
      <c r="AC107" s="29"/>
      <c r="AD107" s="29"/>
      <c r="AE107" s="29"/>
      <c r="AF107" s="29"/>
      <c r="AG107" s="29"/>
      <c r="AH107" s="29"/>
      <c r="AI107" s="29"/>
      <c r="AJ107" s="29"/>
      <c r="AK107" s="29"/>
      <c r="AL107" s="29"/>
      <c r="AM107" s="29"/>
    </row>
    <row r="108" spans="1:39" ht="15" customHeight="1">
      <c r="A108" s="2"/>
      <c r="B108" s="590"/>
      <c r="C108" s="590"/>
      <c r="D108" s="590"/>
      <c r="E108" s="590"/>
      <c r="F108" s="590"/>
      <c r="G108" s="590"/>
      <c r="H108" s="590"/>
      <c r="I108" s="590"/>
      <c r="J108" s="204"/>
      <c r="K108" s="30"/>
      <c r="L108" s="30"/>
      <c r="S108" s="46" t="s">
        <v>417</v>
      </c>
      <c r="T108" s="22">
        <f>-O24</f>
        <v>5950000</v>
      </c>
      <c r="U108" t="s">
        <v>353</v>
      </c>
      <c r="W108" s="29"/>
      <c r="X108" s="29"/>
      <c r="Y108" s="29"/>
      <c r="Z108" s="29"/>
      <c r="AA108" s="29"/>
      <c r="AB108" s="29"/>
      <c r="AC108" s="29"/>
      <c r="AD108" s="29"/>
      <c r="AE108" s="29"/>
      <c r="AF108" s="29"/>
      <c r="AG108" s="29"/>
      <c r="AH108" s="29"/>
      <c r="AI108" s="29"/>
      <c r="AJ108" s="29"/>
      <c r="AK108" s="29"/>
      <c r="AL108" s="29"/>
      <c r="AM108" s="29"/>
    </row>
    <row r="109" spans="1:39" ht="15" customHeight="1">
      <c r="A109" s="2"/>
      <c r="B109" s="590"/>
      <c r="C109" s="590"/>
      <c r="D109" s="590"/>
      <c r="E109" s="590"/>
      <c r="F109" s="590"/>
      <c r="G109" s="590"/>
      <c r="H109" s="590"/>
      <c r="I109" s="590"/>
      <c r="J109" s="222"/>
      <c r="K109" s="30"/>
      <c r="L109" s="30"/>
      <c r="S109" s="46" t="s">
        <v>418</v>
      </c>
      <c r="T109" s="22">
        <f>+X100</f>
        <v>0</v>
      </c>
      <c r="U109" t="s">
        <v>353</v>
      </c>
      <c r="W109" s="29"/>
      <c r="X109" s="29"/>
      <c r="Y109" s="29"/>
      <c r="Z109" s="29"/>
      <c r="AA109" s="29"/>
      <c r="AB109" s="29"/>
      <c r="AC109" s="29"/>
      <c r="AD109" s="29"/>
      <c r="AE109" s="29"/>
      <c r="AF109" s="29"/>
      <c r="AG109" s="29"/>
      <c r="AH109" s="29"/>
      <c r="AI109" s="29"/>
      <c r="AJ109" s="29"/>
      <c r="AK109" s="29"/>
      <c r="AL109" s="29"/>
      <c r="AM109" s="29"/>
    </row>
    <row r="110" spans="1:39" ht="15" customHeight="1">
      <c r="A110" s="2"/>
      <c r="B110" s="590"/>
      <c r="C110" s="590"/>
      <c r="D110" s="590"/>
      <c r="E110" s="590"/>
      <c r="F110" s="590"/>
      <c r="G110" s="590"/>
      <c r="H110" s="590"/>
      <c r="I110" s="590"/>
      <c r="J110" s="222"/>
      <c r="K110" s="30"/>
      <c r="L110" s="30"/>
      <c r="S110" s="46" t="s">
        <v>419</v>
      </c>
      <c r="T110" s="22">
        <f>+T109-T108</f>
        <v>-5950000</v>
      </c>
      <c r="U110" t="s">
        <v>353</v>
      </c>
      <c r="Y110" s="29"/>
      <c r="Z110" s="29"/>
      <c r="AA110" s="29"/>
      <c r="AB110" s="29"/>
      <c r="AC110" s="29"/>
      <c r="AD110" s="29"/>
      <c r="AE110" s="29"/>
      <c r="AF110" s="29"/>
      <c r="AG110" s="29"/>
      <c r="AH110" s="29"/>
      <c r="AI110" s="29"/>
      <c r="AJ110" s="29"/>
      <c r="AK110" s="29"/>
      <c r="AL110" s="29"/>
      <c r="AM110" s="29"/>
    </row>
    <row r="111" spans="1:39" ht="15" customHeight="1">
      <c r="A111" s="2"/>
      <c r="B111" s="590"/>
      <c r="C111" s="590"/>
      <c r="D111" s="590"/>
      <c r="E111" s="590"/>
      <c r="F111" s="590"/>
      <c r="G111" s="590"/>
      <c r="H111" s="590"/>
      <c r="I111" s="590"/>
      <c r="J111" s="222"/>
      <c r="K111" s="380"/>
      <c r="L111" s="380"/>
      <c r="AB111" s="29"/>
      <c r="AC111" s="29"/>
      <c r="AD111" s="29"/>
      <c r="AE111" s="29"/>
      <c r="AF111" s="29"/>
      <c r="AG111" s="29"/>
      <c r="AH111" s="29"/>
      <c r="AI111" s="29"/>
      <c r="AJ111" s="29"/>
      <c r="AK111" s="29"/>
      <c r="AL111" s="29"/>
      <c r="AM111" s="29"/>
    </row>
    <row r="112" spans="1:39" ht="15" customHeight="1">
      <c r="B112" s="590"/>
      <c r="C112" s="590"/>
      <c r="D112" s="590"/>
      <c r="E112" s="590"/>
      <c r="F112" s="590"/>
      <c r="G112" s="590"/>
      <c r="H112" s="590"/>
      <c r="I112" s="590"/>
      <c r="J112" s="204"/>
      <c r="K112" s="30"/>
      <c r="L112" s="380"/>
      <c r="S112" s="2" t="s">
        <v>422</v>
      </c>
      <c r="AE112" s="29"/>
      <c r="AF112" s="29"/>
      <c r="AG112" s="29"/>
      <c r="AH112" s="29"/>
      <c r="AI112" s="29"/>
      <c r="AJ112" s="29"/>
      <c r="AK112" s="29"/>
      <c r="AL112" s="29"/>
      <c r="AM112" s="29"/>
    </row>
    <row r="113" spans="1:39">
      <c r="K113" s="30"/>
      <c r="L113" s="30"/>
      <c r="AE113" s="29"/>
      <c r="AF113" s="29"/>
      <c r="AG113" s="29"/>
      <c r="AH113" s="29"/>
      <c r="AI113" s="29"/>
      <c r="AJ113" s="29"/>
      <c r="AK113" s="29"/>
      <c r="AL113" s="29"/>
      <c r="AM113" s="29"/>
    </row>
    <row r="114" spans="1:39">
      <c r="S114" t="s">
        <v>350</v>
      </c>
      <c r="T114" s="4">
        <f>SUM(R41:R52)</f>
        <v>-103999999.99999988</v>
      </c>
      <c r="AE114" s="29"/>
      <c r="AF114" s="29"/>
      <c r="AG114" s="29"/>
      <c r="AH114" s="29"/>
      <c r="AI114" s="29"/>
      <c r="AJ114" s="29"/>
      <c r="AK114" s="29"/>
      <c r="AL114" s="29"/>
      <c r="AM114" s="29"/>
    </row>
    <row r="115" spans="1:39">
      <c r="A115" s="2">
        <v>6</v>
      </c>
      <c r="B115" s="49" t="s">
        <v>46</v>
      </c>
      <c r="S115" s="40">
        <v>0.2</v>
      </c>
      <c r="T115" s="22">
        <f>-T114*S115</f>
        <v>20799999.999999978</v>
      </c>
      <c r="AE115" s="29"/>
      <c r="AF115" s="29"/>
      <c r="AG115" s="29"/>
      <c r="AH115" s="29"/>
      <c r="AI115" s="29"/>
      <c r="AJ115" s="29"/>
      <c r="AK115" s="29"/>
      <c r="AL115" s="29"/>
      <c r="AM115" s="29"/>
    </row>
    <row r="116" spans="1:39">
      <c r="AE116" s="29"/>
      <c r="AF116" s="29"/>
      <c r="AG116" s="29"/>
      <c r="AH116" s="29"/>
      <c r="AI116" s="29"/>
      <c r="AJ116" s="29"/>
      <c r="AK116" s="29"/>
      <c r="AL116" s="29"/>
      <c r="AM116" s="29"/>
    </row>
    <row r="117" spans="1:39">
      <c r="B117" s="569" t="s">
        <v>349</v>
      </c>
      <c r="C117" s="569"/>
      <c r="D117" s="569"/>
      <c r="E117" s="569"/>
      <c r="F117" s="569"/>
      <c r="G117" s="569"/>
      <c r="H117" s="569"/>
      <c r="I117" s="569"/>
      <c r="J117" s="203"/>
      <c r="AF117" s="29"/>
      <c r="AG117" s="29"/>
      <c r="AH117" s="29"/>
      <c r="AI117" s="29"/>
      <c r="AJ117" s="29"/>
      <c r="AK117" s="29"/>
      <c r="AL117" s="29"/>
      <c r="AM117" s="29"/>
    </row>
    <row r="118" spans="1:39">
      <c r="B118" s="569"/>
      <c r="C118" s="569"/>
      <c r="D118" s="569"/>
      <c r="E118" s="569"/>
      <c r="F118" s="569"/>
      <c r="G118" s="569"/>
      <c r="H118" s="569"/>
      <c r="I118" s="569"/>
      <c r="J118" s="203"/>
      <c r="AF118" s="29"/>
      <c r="AG118" s="29"/>
      <c r="AH118" s="29"/>
      <c r="AI118" s="29"/>
      <c r="AJ118" s="29"/>
      <c r="AK118" s="29"/>
      <c r="AL118" s="29"/>
      <c r="AM118" s="29"/>
    </row>
    <row r="119" spans="1:39">
      <c r="B119" s="569"/>
      <c r="C119" s="569"/>
      <c r="D119" s="569"/>
      <c r="E119" s="569"/>
      <c r="F119" s="569"/>
      <c r="G119" s="569"/>
      <c r="H119" s="373"/>
      <c r="AK119" s="29"/>
      <c r="AL119" s="29"/>
      <c r="AM119" s="29"/>
    </row>
    <row r="120" spans="1:39">
      <c r="B120" s="569"/>
      <c r="C120" s="569"/>
      <c r="D120" s="569"/>
      <c r="E120" s="569"/>
      <c r="F120" s="569"/>
      <c r="G120" s="569"/>
      <c r="H120" s="373"/>
      <c r="AL120" s="29"/>
      <c r="AM120" s="29"/>
    </row>
    <row r="121" spans="1:39">
      <c r="AL121" s="29"/>
      <c r="AM121" s="29"/>
    </row>
    <row r="122" spans="1:39">
      <c r="AL122" s="29"/>
      <c r="AM122" s="29"/>
    </row>
    <row r="123" spans="1:39">
      <c r="AL123" s="29"/>
      <c r="AM123" s="29"/>
    </row>
    <row r="124" spans="1:39">
      <c r="AL124" s="29"/>
    </row>
    <row r="125" spans="1:39">
      <c r="AL125" s="29"/>
    </row>
    <row r="126" spans="1:39" ht="17.25" customHeight="1">
      <c r="AL126" s="29"/>
    </row>
    <row r="132" ht="15" customHeight="1"/>
  </sheetData>
  <mergeCells count="16">
    <mergeCell ref="B63:I64"/>
    <mergeCell ref="M58:Q58"/>
    <mergeCell ref="B80:I83"/>
    <mergeCell ref="P17:Q17"/>
    <mergeCell ref="A21:I36"/>
    <mergeCell ref="B60:I62"/>
    <mergeCell ref="A37:I41"/>
    <mergeCell ref="A20:I20"/>
    <mergeCell ref="B87:I91"/>
    <mergeCell ref="B120:G120"/>
    <mergeCell ref="B119:G119"/>
    <mergeCell ref="B117:I118"/>
    <mergeCell ref="B107:I112"/>
    <mergeCell ref="B93:I94"/>
    <mergeCell ref="B95:I96"/>
    <mergeCell ref="B100:I101"/>
  </mergeCells>
  <pageMargins left="0.70866141732283472" right="0.70866141732283472" top="0.74803149606299213" bottom="0.74803149606299213" header="0.31496062992125984" footer="0.31496062992125984"/>
  <pageSetup paperSize="9" scale="72" orientation="landscape" r:id="rId1"/>
  <rowBreaks count="3" manualBreakCount="3">
    <brk id="11" max="16383" man="1"/>
    <brk id="54" max="16383" man="1"/>
    <brk id="99" max="16383" man="1"/>
  </rowBreaks>
  <colBreaks count="2" manualBreakCount="2">
    <brk id="10" max="1048575" man="1"/>
    <brk id="18" max="1048575" man="1"/>
  </col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9">
    <tabColor theme="4" tint="-0.249977111117893"/>
  </sheetPr>
  <dimension ref="A1:F95"/>
  <sheetViews>
    <sheetView topLeftCell="A24" zoomScale="145" zoomScaleNormal="145" zoomScaleSheetLayoutView="124" workbookViewId="0">
      <selection activeCell="C42" sqref="C42"/>
    </sheetView>
  </sheetViews>
  <sheetFormatPr defaultRowHeight="15"/>
  <cols>
    <col min="1" max="1" width="54.5703125" bestFit="1" customWidth="1"/>
    <col min="2" max="2" width="9.42578125" bestFit="1" customWidth="1"/>
    <col min="3" max="3" width="12.42578125" bestFit="1" customWidth="1"/>
    <col min="5" max="5" width="17.7109375" customWidth="1"/>
    <col min="6" max="6" width="10.5703125" bestFit="1" customWidth="1"/>
  </cols>
  <sheetData>
    <row r="1" spans="1:3" ht="18">
      <c r="A1" s="54" t="s">
        <v>687</v>
      </c>
      <c r="B1" s="55"/>
      <c r="C1" s="56"/>
    </row>
    <row r="2" spans="1:3">
      <c r="A2" s="57"/>
      <c r="B2" s="58"/>
      <c r="C2" s="56"/>
    </row>
    <row r="3" spans="1:3">
      <c r="A3" s="57"/>
      <c r="B3" s="58"/>
      <c r="C3" s="56"/>
    </row>
    <row r="4" spans="1:3">
      <c r="A4" s="57"/>
      <c r="B4" s="58"/>
      <c r="C4" s="59" t="s">
        <v>686</v>
      </c>
    </row>
    <row r="5" spans="1:3">
      <c r="A5" s="60" t="s">
        <v>11</v>
      </c>
      <c r="B5" s="58"/>
      <c r="C5" s="56"/>
    </row>
    <row r="6" spans="1:3">
      <c r="A6" s="61" t="s">
        <v>157</v>
      </c>
      <c r="B6" s="55"/>
      <c r="C6" s="62">
        <v>0</v>
      </c>
    </row>
    <row r="7" spans="1:3">
      <c r="A7" s="61" t="s">
        <v>172</v>
      </c>
      <c r="B7" s="55"/>
      <c r="C7" s="62">
        <v>0</v>
      </c>
    </row>
    <row r="8" spans="1:3">
      <c r="A8" s="57"/>
      <c r="B8" s="55"/>
      <c r="C8" s="72">
        <f>SUM(C6:C7)</f>
        <v>0</v>
      </c>
    </row>
    <row r="9" spans="1:3">
      <c r="A9" s="60" t="s">
        <v>17</v>
      </c>
      <c r="B9" s="55"/>
      <c r="C9" s="62"/>
    </row>
    <row r="10" spans="1:3">
      <c r="A10" s="61" t="s">
        <v>13</v>
      </c>
      <c r="B10" s="55"/>
      <c r="C10" s="62">
        <v>0</v>
      </c>
    </row>
    <row r="11" spans="1:3">
      <c r="A11" s="61" t="s">
        <v>158</v>
      </c>
      <c r="B11" s="55"/>
      <c r="C11" s="62">
        <v>0</v>
      </c>
    </row>
    <row r="12" spans="1:3">
      <c r="A12" s="61" t="s">
        <v>15</v>
      </c>
      <c r="B12" s="55"/>
      <c r="C12" s="62">
        <v>0</v>
      </c>
    </row>
    <row r="13" spans="1:3">
      <c r="A13" s="61" t="s">
        <v>279</v>
      </c>
      <c r="B13" s="55"/>
      <c r="C13" s="62">
        <v>0</v>
      </c>
    </row>
    <row r="14" spans="1:3">
      <c r="A14" s="61" t="s">
        <v>16</v>
      </c>
      <c r="B14" s="63"/>
      <c r="C14" s="62">
        <v>0</v>
      </c>
    </row>
    <row r="15" spans="1:3">
      <c r="A15" s="57"/>
      <c r="B15" s="55"/>
      <c r="C15" s="72">
        <f>SUM(C10:C14)</f>
        <v>0</v>
      </c>
    </row>
    <row r="16" spans="1:3">
      <c r="A16" s="57"/>
      <c r="B16" s="55"/>
      <c r="C16" s="62"/>
    </row>
    <row r="17" spans="1:6">
      <c r="A17" s="60" t="s">
        <v>173</v>
      </c>
      <c r="B17" s="55"/>
      <c r="C17" s="62">
        <f>+C8-C15</f>
        <v>0</v>
      </c>
    </row>
    <row r="18" spans="1:6">
      <c r="A18" s="57"/>
      <c r="B18" s="55"/>
      <c r="C18" s="62"/>
    </row>
    <row r="19" spans="1:6">
      <c r="A19" s="60" t="s">
        <v>174</v>
      </c>
      <c r="B19" s="55"/>
      <c r="C19" s="62"/>
    </row>
    <row r="20" spans="1:6">
      <c r="A20" s="61" t="s">
        <v>128</v>
      </c>
      <c r="B20" s="55"/>
      <c r="C20" s="62">
        <v>0</v>
      </c>
    </row>
    <row r="21" spans="1:6">
      <c r="A21" s="61" t="s">
        <v>44</v>
      </c>
      <c r="B21" s="55"/>
      <c r="C21" s="62">
        <v>0</v>
      </c>
    </row>
    <row r="22" spans="1:6">
      <c r="A22" s="57"/>
      <c r="B22" s="55"/>
      <c r="C22" s="72">
        <f>SUM(C20:C21)</f>
        <v>0</v>
      </c>
    </row>
    <row r="23" spans="1:6">
      <c r="A23" s="57"/>
      <c r="B23" s="55"/>
      <c r="C23" s="62"/>
    </row>
    <row r="24" spans="1:6">
      <c r="A24" s="60" t="s">
        <v>175</v>
      </c>
      <c r="B24" s="55"/>
      <c r="C24" s="64">
        <f>+C17+C22</f>
        <v>0</v>
      </c>
    </row>
    <row r="25" spans="1:6">
      <c r="A25" s="57"/>
      <c r="B25" s="55"/>
      <c r="C25" s="64"/>
    </row>
    <row r="26" spans="1:6">
      <c r="A26" s="61" t="s">
        <v>46</v>
      </c>
      <c r="B26" s="55"/>
      <c r="C26" s="64">
        <v>0</v>
      </c>
    </row>
    <row r="27" spans="1:6">
      <c r="A27" s="61"/>
      <c r="B27" s="55"/>
      <c r="C27" s="62"/>
    </row>
    <row r="28" spans="1:6" ht="15.75" thickBot="1">
      <c r="A28" s="60" t="s">
        <v>176</v>
      </c>
      <c r="B28" s="55"/>
      <c r="C28" s="65">
        <f>+C24+C26</f>
        <v>0</v>
      </c>
      <c r="F28" s="4"/>
    </row>
    <row r="29" spans="1:6" ht="15.75" thickTop="1"/>
    <row r="33" spans="1:3" ht="18">
      <c r="A33" s="54" t="s">
        <v>705</v>
      </c>
      <c r="B33" s="55"/>
      <c r="C33" s="57"/>
    </row>
    <row r="34" spans="1:3">
      <c r="A34" s="61"/>
      <c r="B34" s="55"/>
      <c r="C34" s="57"/>
    </row>
    <row r="35" spans="1:3">
      <c r="A35" s="57"/>
      <c r="B35" s="55"/>
      <c r="C35" s="57"/>
    </row>
    <row r="36" spans="1:3">
      <c r="A36" s="57"/>
      <c r="B36" s="55"/>
      <c r="C36" s="57"/>
    </row>
    <row r="37" spans="1:3" ht="15.75">
      <c r="A37" s="66" t="s">
        <v>177</v>
      </c>
      <c r="B37" s="58"/>
      <c r="C37" s="67" t="s">
        <v>706</v>
      </c>
    </row>
    <row r="38" spans="1:3">
      <c r="A38" s="68"/>
      <c r="B38" s="58"/>
      <c r="C38" s="69"/>
    </row>
    <row r="39" spans="1:3">
      <c r="A39" s="57"/>
      <c r="B39" s="55"/>
      <c r="C39" s="62"/>
    </row>
    <row r="40" spans="1:3">
      <c r="A40" s="60" t="s">
        <v>178</v>
      </c>
      <c r="B40" s="55"/>
      <c r="C40" s="62"/>
    </row>
    <row r="41" spans="1:3">
      <c r="A41" s="70" t="s">
        <v>179</v>
      </c>
      <c r="B41" s="55"/>
      <c r="C41" s="62"/>
    </row>
    <row r="42" spans="1:3">
      <c r="A42" s="61" t="s">
        <v>314</v>
      </c>
      <c r="B42" s="55"/>
      <c r="C42" s="62">
        <v>0</v>
      </c>
    </row>
    <row r="43" spans="1:3">
      <c r="A43" s="61" t="s">
        <v>345</v>
      </c>
      <c r="B43" s="55"/>
      <c r="C43" s="62">
        <v>0</v>
      </c>
    </row>
    <row r="44" spans="1:3">
      <c r="A44" s="61"/>
      <c r="B44" s="55"/>
      <c r="C44" s="72">
        <f>SUM(C42:C43)</f>
        <v>0</v>
      </c>
    </row>
    <row r="45" spans="1:3">
      <c r="A45" s="61" t="s">
        <v>463</v>
      </c>
      <c r="B45" s="55"/>
      <c r="C45" s="62"/>
    </row>
    <row r="46" spans="1:3">
      <c r="A46" s="61" t="s">
        <v>461</v>
      </c>
      <c r="B46" s="55"/>
      <c r="C46" s="62">
        <v>0</v>
      </c>
    </row>
    <row r="47" spans="1:3">
      <c r="A47" s="57"/>
      <c r="B47" s="55"/>
      <c r="C47" s="71"/>
    </row>
    <row r="48" spans="1:3">
      <c r="A48" s="60" t="s">
        <v>180</v>
      </c>
      <c r="B48" s="55"/>
      <c r="C48" s="71">
        <f>+C44+C46</f>
        <v>0</v>
      </c>
    </row>
    <row r="49" spans="1:3">
      <c r="A49" s="57"/>
      <c r="B49" s="55"/>
      <c r="C49" s="62"/>
    </row>
    <row r="50" spans="1:3">
      <c r="A50" s="60" t="s">
        <v>181</v>
      </c>
      <c r="B50" s="55"/>
      <c r="C50" s="62"/>
    </row>
    <row r="51" spans="1:3">
      <c r="A51" s="61" t="s">
        <v>149</v>
      </c>
      <c r="B51" s="55"/>
      <c r="C51" s="62">
        <v>0</v>
      </c>
    </row>
    <row r="52" spans="1:3">
      <c r="A52" s="61" t="s">
        <v>420</v>
      </c>
      <c r="B52" s="55"/>
      <c r="C52" s="62">
        <v>0</v>
      </c>
    </row>
    <row r="53" spans="1:3">
      <c r="A53" s="61" t="s">
        <v>347</v>
      </c>
      <c r="B53" s="55"/>
      <c r="C53" s="62">
        <v>0</v>
      </c>
    </row>
    <row r="54" spans="1:3">
      <c r="A54" s="61" t="s">
        <v>139</v>
      </c>
      <c r="B54" s="55"/>
      <c r="C54" s="62">
        <v>0</v>
      </c>
    </row>
    <row r="55" spans="1:3">
      <c r="A55" s="61" t="s">
        <v>141</v>
      </c>
      <c r="B55" s="55"/>
      <c r="C55" s="62">
        <v>0</v>
      </c>
    </row>
    <row r="56" spans="1:3">
      <c r="A56" s="57"/>
      <c r="B56" s="55"/>
      <c r="C56" s="72">
        <f>SUM(C51:C55)</f>
        <v>0</v>
      </c>
    </row>
    <row r="57" spans="1:3">
      <c r="A57" s="57"/>
      <c r="B57" s="55"/>
      <c r="C57" s="62"/>
    </row>
    <row r="58" spans="1:3" ht="15.75" thickBot="1">
      <c r="A58" s="60" t="s">
        <v>183</v>
      </c>
      <c r="B58" s="55"/>
      <c r="C58" s="73">
        <f>C48+C56</f>
        <v>0</v>
      </c>
    </row>
    <row r="59" spans="1:3" ht="15.75" thickTop="1"/>
    <row r="62" spans="1:3" ht="18">
      <c r="A62" s="54" t="s">
        <v>705</v>
      </c>
      <c r="B62" s="55"/>
      <c r="C62" s="57"/>
    </row>
    <row r="63" spans="1:3">
      <c r="A63" s="57"/>
      <c r="B63" s="55"/>
      <c r="C63" s="57"/>
    </row>
    <row r="64" spans="1:3">
      <c r="A64" s="57"/>
      <c r="B64" s="55"/>
      <c r="C64" s="57"/>
    </row>
    <row r="65" spans="1:5">
      <c r="A65" s="57"/>
      <c r="B65" s="55"/>
      <c r="C65" s="57"/>
    </row>
    <row r="66" spans="1:5" ht="15.75">
      <c r="A66" s="66" t="s">
        <v>184</v>
      </c>
      <c r="B66" s="58"/>
      <c r="C66" s="67" t="s">
        <v>706</v>
      </c>
    </row>
    <row r="67" spans="1:5">
      <c r="A67" s="68"/>
      <c r="B67" s="58"/>
      <c r="C67" s="69"/>
    </row>
    <row r="68" spans="1:5">
      <c r="A68" s="57"/>
      <c r="B68" s="55"/>
      <c r="C68" s="62"/>
    </row>
    <row r="69" spans="1:5">
      <c r="A69" s="60" t="s">
        <v>0</v>
      </c>
      <c r="B69" s="55"/>
      <c r="C69" s="62"/>
    </row>
    <row r="70" spans="1:5">
      <c r="A70" s="61" t="s">
        <v>49</v>
      </c>
      <c r="B70" s="55"/>
      <c r="C70" s="62">
        <v>0</v>
      </c>
    </row>
    <row r="71" spans="1:5">
      <c r="A71" s="61" t="s">
        <v>50</v>
      </c>
      <c r="B71" s="55"/>
      <c r="C71" s="62">
        <v>0</v>
      </c>
    </row>
    <row r="72" spans="1:5">
      <c r="A72" s="61" t="s">
        <v>51</v>
      </c>
      <c r="B72" s="55"/>
      <c r="C72" s="62">
        <v>0</v>
      </c>
      <c r="E72" s="4"/>
    </row>
    <row r="73" spans="1:5">
      <c r="A73" s="57"/>
      <c r="B73" s="55"/>
      <c r="C73" s="72">
        <f>SUM(C70:C72)</f>
        <v>0</v>
      </c>
    </row>
    <row r="74" spans="1:5">
      <c r="A74" s="57"/>
      <c r="B74" s="55"/>
      <c r="C74" s="71"/>
    </row>
    <row r="75" spans="1:5">
      <c r="A75" s="60" t="s">
        <v>185</v>
      </c>
      <c r="B75" s="55"/>
      <c r="C75" s="62"/>
    </row>
    <row r="76" spans="1:5">
      <c r="A76" s="57"/>
      <c r="B76" s="55"/>
      <c r="C76" s="62"/>
    </row>
    <row r="77" spans="1:5">
      <c r="A77" s="57" t="s">
        <v>186</v>
      </c>
      <c r="B77" s="55"/>
      <c r="C77" s="62"/>
    </row>
    <row r="78" spans="1:5">
      <c r="A78" s="61" t="s">
        <v>48</v>
      </c>
      <c r="B78" s="55"/>
      <c r="C78" s="62">
        <v>0</v>
      </c>
    </row>
    <row r="79" spans="1:5">
      <c r="A79" s="61"/>
      <c r="B79" s="55"/>
      <c r="C79" s="62"/>
    </row>
    <row r="80" spans="1:5">
      <c r="A80" s="57" t="s">
        <v>187</v>
      </c>
      <c r="B80" s="55"/>
      <c r="C80" s="62"/>
    </row>
    <row r="81" spans="1:3">
      <c r="A81" s="61" t="s">
        <v>188</v>
      </c>
      <c r="B81" s="55"/>
      <c r="C81" s="62">
        <v>0</v>
      </c>
    </row>
    <row r="82" spans="1:3">
      <c r="A82" s="61"/>
      <c r="B82" s="55"/>
      <c r="C82" s="62"/>
    </row>
    <row r="83" spans="1:3">
      <c r="A83" s="57" t="s">
        <v>189</v>
      </c>
      <c r="B83" s="55"/>
      <c r="C83" s="62"/>
    </row>
    <row r="84" spans="1:3">
      <c r="A84" s="61" t="s">
        <v>190</v>
      </c>
      <c r="B84" s="55"/>
      <c r="C84" s="62">
        <v>0</v>
      </c>
    </row>
    <row r="85" spans="1:3">
      <c r="A85" s="61" t="s">
        <v>142</v>
      </c>
      <c r="B85" s="55"/>
      <c r="C85" s="62">
        <v>0</v>
      </c>
    </row>
    <row r="86" spans="1:3">
      <c r="A86" s="61" t="s">
        <v>464</v>
      </c>
      <c r="B86" s="55"/>
      <c r="C86" s="62">
        <v>0</v>
      </c>
    </row>
    <row r="87" spans="1:3">
      <c r="A87" s="61" t="s">
        <v>191</v>
      </c>
      <c r="B87" s="55"/>
      <c r="C87" s="62">
        <v>0</v>
      </c>
    </row>
    <row r="88" spans="1:3">
      <c r="A88" s="61" t="s">
        <v>192</v>
      </c>
      <c r="B88" s="55"/>
      <c r="C88" s="62">
        <v>0</v>
      </c>
    </row>
    <row r="89" spans="1:3">
      <c r="A89" s="61" t="s">
        <v>143</v>
      </c>
      <c r="B89" s="55"/>
      <c r="C89" s="62">
        <v>0</v>
      </c>
    </row>
    <row r="90" spans="1:3">
      <c r="A90" s="57"/>
      <c r="B90" s="55"/>
      <c r="C90" s="72">
        <f>SUM(C84:C89)</f>
        <v>0</v>
      </c>
    </row>
    <row r="91" spans="1:3">
      <c r="A91" s="57"/>
      <c r="B91" s="55"/>
      <c r="C91" s="62"/>
    </row>
    <row r="92" spans="1:3">
      <c r="A92" s="60" t="s">
        <v>193</v>
      </c>
      <c r="B92" s="55"/>
      <c r="C92" s="62">
        <f>+C78+C81+C90</f>
        <v>0</v>
      </c>
    </row>
    <row r="93" spans="1:3">
      <c r="A93" s="57"/>
      <c r="B93" s="55"/>
      <c r="C93" s="62"/>
    </row>
    <row r="94" spans="1:3" ht="15.75" thickBot="1">
      <c r="A94" s="60" t="s">
        <v>194</v>
      </c>
      <c r="B94" s="55"/>
      <c r="C94" s="73">
        <f>+C92+C73</f>
        <v>0</v>
      </c>
    </row>
    <row r="95" spans="1:3" ht="15.75" thickTop="1"/>
  </sheetData>
  <pageMargins left="0.7" right="0.7" top="0.75" bottom="0.75" header="0.3" footer="0.3"/>
  <pageSetup paperSize="9" orientation="portrait" r:id="rId1"/>
  <rowBreaks count="2" manualBreakCount="2">
    <brk id="32" max="3" man="1"/>
    <brk id="61" max="3" man="1"/>
  </rowBreaks>
  <ignoredErrors>
    <ignoredError sqref="C4" numberStoredAsText="1"/>
  </ignoredError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4" tint="0.79998168889431442"/>
    <pageSetUpPr fitToPage="1"/>
  </sheetPr>
  <dimension ref="A1:IA56"/>
  <sheetViews>
    <sheetView zoomScaleNormal="100" zoomScaleSheetLayoutView="85" zoomScalePageLayoutView="30" workbookViewId="0">
      <selection activeCell="A23" sqref="A23"/>
    </sheetView>
  </sheetViews>
  <sheetFormatPr defaultColWidth="9.140625" defaultRowHeight="12"/>
  <cols>
    <col min="1" max="1" width="31.42578125" style="298" customWidth="1"/>
    <col min="2" max="2" width="3.28515625" style="299" customWidth="1"/>
    <col min="3" max="4" width="6.5703125" style="350" customWidth="1"/>
    <col min="5" max="5" width="17.7109375" style="298" customWidth="1"/>
    <col min="6" max="6" width="13.140625" style="298" customWidth="1"/>
    <col min="7" max="7" width="11.42578125" style="298" customWidth="1"/>
    <col min="8" max="8" width="0.85546875" style="349" customWidth="1"/>
    <col min="9" max="9" width="5.28515625" style="351" customWidth="1"/>
    <col min="10" max="10" width="10.85546875" style="298" customWidth="1"/>
    <col min="11" max="11" width="1.140625" style="349" customWidth="1"/>
    <col min="12" max="12" width="5" style="351" customWidth="1"/>
    <col min="13" max="13" width="10.85546875" style="298" customWidth="1"/>
    <col min="14" max="14" width="1.140625" style="349" customWidth="1"/>
    <col min="15" max="15" width="11.28515625" style="298" customWidth="1"/>
    <col min="16" max="16" width="4.7109375" style="303" customWidth="1"/>
    <col min="17" max="17" width="10.42578125" style="298" customWidth="1"/>
    <col min="18" max="18" width="9.28515625" style="298" customWidth="1"/>
    <col min="19" max="19" width="10.7109375" style="298" customWidth="1"/>
    <col min="20" max="20" width="10.85546875" style="298" customWidth="1"/>
    <col min="21" max="21" width="5.85546875" style="349" customWidth="1"/>
    <col min="22" max="22" width="9.42578125" style="349" customWidth="1"/>
    <col min="23" max="23" width="9" style="349" customWidth="1"/>
    <col min="24" max="25" width="10" style="349" customWidth="1"/>
    <col min="26" max="26" width="7.5703125" style="348" hidden="1" customWidth="1"/>
    <col min="27" max="27" width="9.140625" style="348" hidden="1" customWidth="1"/>
    <col min="28" max="28" width="8.140625" style="348" hidden="1" customWidth="1"/>
    <col min="29" max="30" width="7.5703125" style="349" hidden="1" customWidth="1"/>
    <col min="31" max="31" width="7.5703125" style="349" customWidth="1" collapsed="1"/>
    <col min="32" max="235" width="7.5703125" style="298" customWidth="1"/>
    <col min="236" max="16384" width="9.140625" style="298"/>
  </cols>
  <sheetData>
    <row r="1" spans="1:31" s="304" customFormat="1" ht="12.75">
      <c r="A1" s="244"/>
      <c r="B1" s="245"/>
      <c r="C1" s="246"/>
      <c r="D1" s="246"/>
      <c r="E1" s="247"/>
      <c r="F1" s="247"/>
      <c r="G1" s="244"/>
      <c r="H1" s="248"/>
      <c r="I1" s="249" t="s">
        <v>382</v>
      </c>
      <c r="J1" s="249"/>
      <c r="K1" s="250"/>
      <c r="L1" s="249" t="s">
        <v>383</v>
      </c>
      <c r="M1" s="249"/>
      <c r="N1" s="250"/>
      <c r="O1" s="247"/>
      <c r="P1" s="251"/>
      <c r="Q1" s="247"/>
      <c r="R1" s="247"/>
      <c r="S1" s="247"/>
      <c r="T1" s="247"/>
      <c r="U1" s="314"/>
      <c r="V1" s="225" t="s">
        <v>408</v>
      </c>
      <c r="W1" s="315"/>
      <c r="X1" s="315"/>
      <c r="Y1" s="314"/>
      <c r="Z1" s="316"/>
      <c r="AA1" s="316"/>
      <c r="AB1" s="316"/>
      <c r="AC1" s="314"/>
      <c r="AD1" s="314"/>
      <c r="AE1" s="314"/>
    </row>
    <row r="2" spans="1:31" s="321" customFormat="1" ht="42" customHeight="1">
      <c r="A2" s="545"/>
      <c r="B2" s="253"/>
      <c r="C2" s="257" t="s">
        <v>169</v>
      </c>
      <c r="D2" s="257"/>
      <c r="E2" s="255" t="s">
        <v>384</v>
      </c>
      <c r="F2" s="255" t="s">
        <v>385</v>
      </c>
      <c r="G2" s="252" t="s">
        <v>386</v>
      </c>
      <c r="H2" s="255"/>
      <c r="I2" s="256" t="s">
        <v>387</v>
      </c>
      <c r="J2" s="254" t="s">
        <v>388</v>
      </c>
      <c r="K2" s="255"/>
      <c r="L2" s="256" t="s">
        <v>387</v>
      </c>
      <c r="M2" s="254" t="s">
        <v>389</v>
      </c>
      <c r="N2" s="255"/>
      <c r="O2" s="258" t="s">
        <v>390</v>
      </c>
      <c r="P2" s="259" t="s">
        <v>391</v>
      </c>
      <c r="Q2" s="255" t="s">
        <v>392</v>
      </c>
      <c r="R2" s="255" t="s">
        <v>393</v>
      </c>
      <c r="S2" s="255" t="s">
        <v>394</v>
      </c>
      <c r="T2" s="255" t="s">
        <v>170</v>
      </c>
      <c r="U2" s="317"/>
      <c r="V2" s="318" t="s">
        <v>409</v>
      </c>
      <c r="W2" s="318" t="s">
        <v>410</v>
      </c>
      <c r="X2" s="318" t="s">
        <v>411</v>
      </c>
      <c r="Y2" s="317"/>
      <c r="Z2" s="319"/>
      <c r="AA2" s="319"/>
      <c r="AB2" s="319"/>
      <c r="AC2" s="320"/>
      <c r="AD2" s="320"/>
      <c r="AE2" s="317"/>
    </row>
    <row r="3" spans="1:31" s="234" customFormat="1" ht="22.5" customHeight="1">
      <c r="A3" s="223" t="s">
        <v>379</v>
      </c>
      <c r="B3" s="224" t="s">
        <v>466</v>
      </c>
      <c r="C3" s="223"/>
      <c r="D3" s="223"/>
      <c r="E3" s="225"/>
      <c r="F3" s="225"/>
      <c r="G3" s="223"/>
      <c r="H3" s="137"/>
      <c r="I3" s="137"/>
      <c r="J3" s="226"/>
      <c r="K3" s="137"/>
      <c r="L3" s="137"/>
      <c r="M3" s="226"/>
      <c r="N3" s="137"/>
      <c r="O3" s="137"/>
      <c r="P3" s="227"/>
      <c r="Q3" s="228"/>
      <c r="R3" s="227"/>
      <c r="S3" s="227"/>
      <c r="T3" s="227"/>
      <c r="X3" s="227"/>
      <c r="Y3" s="227"/>
      <c r="Z3" s="227"/>
      <c r="AA3" s="322"/>
      <c r="AB3" s="322"/>
      <c r="AC3" s="227"/>
      <c r="AD3" s="227"/>
      <c r="AE3" s="227"/>
    </row>
    <row r="4" spans="1:31" s="234" customFormat="1" ht="18" customHeight="1">
      <c r="A4" s="229" t="s">
        <v>380</v>
      </c>
      <c r="B4" s="596">
        <v>43830</v>
      </c>
      <c r="C4" s="596"/>
      <c r="D4" s="596"/>
      <c r="E4" s="230"/>
      <c r="F4" s="231"/>
      <c r="G4" s="229"/>
      <c r="H4" s="137"/>
      <c r="I4" s="137"/>
      <c r="J4" s="232"/>
      <c r="K4" s="233"/>
      <c r="L4" s="137"/>
      <c r="M4" s="232"/>
      <c r="N4" s="233"/>
      <c r="O4" s="137"/>
      <c r="P4" s="227"/>
      <c r="Q4" s="228"/>
      <c r="S4" s="227"/>
      <c r="X4" s="227"/>
      <c r="Y4" s="227"/>
      <c r="Z4" s="227"/>
      <c r="AA4" s="322"/>
      <c r="AB4" s="322"/>
      <c r="AC4" s="227"/>
      <c r="AD4" s="227"/>
      <c r="AE4" s="227"/>
    </row>
    <row r="5" spans="1:31" s="234" customFormat="1" ht="11.25" customHeight="1" thickBot="1">
      <c r="A5" s="235"/>
      <c r="B5" s="236"/>
      <c r="C5" s="235"/>
      <c r="D5" s="235"/>
      <c r="E5" s="237"/>
      <c r="F5" s="227"/>
      <c r="G5" s="235"/>
      <c r="H5" s="137"/>
      <c r="I5" s="137"/>
      <c r="J5" s="232"/>
      <c r="K5" s="233"/>
      <c r="L5" s="137"/>
      <c r="M5" s="232"/>
      <c r="N5" s="233"/>
      <c r="O5" s="137"/>
      <c r="P5" s="227"/>
      <c r="Q5" s="228"/>
      <c r="S5" s="227"/>
      <c r="X5" s="227"/>
      <c r="Y5" s="227"/>
      <c r="Z5" s="227"/>
      <c r="AA5" s="322"/>
      <c r="AB5" s="322"/>
      <c r="AC5" s="227"/>
      <c r="AD5" s="227"/>
      <c r="AE5" s="227"/>
    </row>
    <row r="6" spans="1:31" s="234" customFormat="1" ht="13.5">
      <c r="A6" s="238" t="s">
        <v>381</v>
      </c>
      <c r="B6" s="239" t="s">
        <v>412</v>
      </c>
      <c r="E6" s="240"/>
      <c r="F6" s="240"/>
      <c r="G6" s="238"/>
      <c r="H6" s="241"/>
      <c r="I6" s="232"/>
      <c r="J6" s="242"/>
      <c r="K6" s="241"/>
      <c r="L6" s="232"/>
      <c r="M6" s="242"/>
      <c r="N6" s="241"/>
      <c r="O6" s="240"/>
      <c r="P6" s="243"/>
      <c r="U6" s="227"/>
      <c r="V6" s="225" t="s">
        <v>408</v>
      </c>
      <c r="W6" s="225"/>
      <c r="X6" s="225"/>
      <c r="Y6" s="227"/>
      <c r="Z6" s="323" t="s">
        <v>413</v>
      </c>
      <c r="AA6" s="324"/>
      <c r="AB6" s="324"/>
      <c r="AC6" s="325"/>
      <c r="AD6" s="326"/>
      <c r="AE6" s="227"/>
    </row>
    <row r="7" spans="1:31" s="234" customFormat="1" ht="13.5">
      <c r="A7" s="238"/>
      <c r="B7" s="239"/>
      <c r="E7" s="240"/>
      <c r="F7" s="240"/>
      <c r="G7" s="238"/>
      <c r="H7" s="241"/>
      <c r="I7" s="232"/>
      <c r="J7" s="242"/>
      <c r="K7" s="241"/>
      <c r="L7" s="232"/>
      <c r="M7" s="242"/>
      <c r="N7" s="241"/>
      <c r="O7" s="240"/>
      <c r="P7" s="243"/>
      <c r="U7" s="227"/>
      <c r="V7" s="227"/>
      <c r="W7" s="227"/>
      <c r="X7" s="227"/>
      <c r="Y7" s="227"/>
      <c r="Z7" s="327"/>
      <c r="AA7" s="322"/>
      <c r="AB7" s="322"/>
      <c r="AC7" s="227"/>
      <c r="AD7" s="328"/>
      <c r="AE7" s="227"/>
    </row>
    <row r="8" spans="1:31" s="304" customFormat="1">
      <c r="A8" s="260" t="s">
        <v>150</v>
      </c>
      <c r="B8" s="261"/>
      <c r="C8" s="274"/>
      <c r="D8" s="274"/>
      <c r="E8" s="295"/>
      <c r="F8" s="295"/>
      <c r="G8" s="282"/>
      <c r="H8" s="268"/>
      <c r="I8" s="277"/>
      <c r="J8" s="295"/>
      <c r="K8" s="268"/>
      <c r="L8" s="277"/>
      <c r="M8" s="295"/>
      <c r="N8" s="268"/>
      <c r="O8" s="268"/>
      <c r="P8" s="296"/>
      <c r="Q8" s="268"/>
      <c r="R8" s="268"/>
      <c r="S8" s="268"/>
      <c r="T8" s="268"/>
      <c r="U8" s="329"/>
      <c r="V8" s="329"/>
      <c r="W8" s="329"/>
      <c r="X8" s="329"/>
      <c r="Y8" s="329"/>
      <c r="Z8" s="330"/>
      <c r="AA8" s="316"/>
      <c r="AB8" s="316"/>
      <c r="AC8" s="262"/>
      <c r="AD8" s="331"/>
      <c r="AE8" s="314"/>
    </row>
    <row r="9" spans="1:31" s="304" customFormat="1">
      <c r="A9" s="260"/>
      <c r="B9" s="261"/>
      <c r="C9" s="274"/>
      <c r="D9" s="274"/>
      <c r="E9" s="295"/>
      <c r="F9" s="295"/>
      <c r="G9" s="282"/>
      <c r="H9" s="268"/>
      <c r="I9" s="277"/>
      <c r="J9" s="295"/>
      <c r="K9" s="268"/>
      <c r="L9" s="277"/>
      <c r="M9" s="295"/>
      <c r="N9" s="268"/>
      <c r="O9" s="268"/>
      <c r="P9" s="296"/>
      <c r="Q9" s="268"/>
      <c r="R9" s="268"/>
      <c r="S9" s="268"/>
      <c r="T9" s="268"/>
      <c r="U9" s="329"/>
      <c r="V9" s="329"/>
      <c r="W9" s="329"/>
      <c r="X9" s="329"/>
      <c r="Y9" s="329"/>
      <c r="Z9" s="330"/>
      <c r="AA9" s="316"/>
      <c r="AB9" s="316"/>
      <c r="AC9" s="262"/>
      <c r="AD9" s="331"/>
      <c r="AE9" s="314"/>
    </row>
    <row r="10" spans="1:31" s="304" customFormat="1">
      <c r="A10" s="264" t="s">
        <v>150</v>
      </c>
      <c r="B10" s="265"/>
      <c r="C10" s="266"/>
      <c r="D10" s="266"/>
      <c r="E10" s="267"/>
      <c r="F10" s="267"/>
      <c r="G10" s="267"/>
      <c r="H10" s="268"/>
      <c r="I10" s="269"/>
      <c r="J10" s="270"/>
      <c r="K10" s="268"/>
      <c r="L10" s="269"/>
      <c r="M10" s="270"/>
      <c r="N10" s="268"/>
      <c r="O10" s="271">
        <f t="shared" ref="O10" si="0">IF(AND(E10&gt;0,J10&gt;0),"villa",E10+J10)</f>
        <v>0</v>
      </c>
      <c r="P10" s="284">
        <v>0.02</v>
      </c>
      <c r="Q10" s="272">
        <f>+IF(G10&gt;0,AC10,AD10)</f>
        <v>0</v>
      </c>
      <c r="R10" s="271" t="str">
        <f t="shared" ref="R10" si="1">IF(M10&gt;0,"VILLA",IF(M10&lt;0,E10-F10+J10-Q10+M10,"0"))</f>
        <v>0</v>
      </c>
      <c r="S10" s="271">
        <f t="shared" ref="S10" si="2">IF(M10&lt;0,0,F10+Q10)</f>
        <v>0</v>
      </c>
      <c r="T10" s="271">
        <f t="shared" ref="T10" si="3">IF(M10&lt;0,0,O10-S10)</f>
        <v>0</v>
      </c>
      <c r="U10" s="329"/>
      <c r="V10" s="329">
        <f t="shared" ref="V10" si="4">+IF($M10&lt;0,E10+J10,0)</f>
        <v>0</v>
      </c>
      <c r="W10" s="329">
        <f t="shared" ref="W10" si="5">+IF($M10&lt;0,F10+Q10,0)</f>
        <v>0</v>
      </c>
      <c r="X10" s="329">
        <f t="shared" ref="X10" si="6">+V10-W10</f>
        <v>0</v>
      </c>
      <c r="Y10" s="329"/>
      <c r="Z10" s="330">
        <f t="shared" ref="Z10" si="7">IF(J10&gt;0,I10,0)</f>
        <v>0</v>
      </c>
      <c r="AA10" s="316">
        <f t="shared" ref="AA10" si="8">IF(M10&lt;0,L10,0)</f>
        <v>0</v>
      </c>
      <c r="AB10" s="316" t="str">
        <f t="shared" ref="AB10" si="9">IF(AND(Z10=0,AA10=0),MAN,IF(AND(Z10&gt;0,AA10&gt;0),AA10-Z10,IF(Z10&gt;0,MAN-Z10+1,AA10-1)))</f>
        <v>12</v>
      </c>
      <c r="AC10" s="262">
        <f t="shared" ref="AC10" si="10">ROUND(INT(MAX(IF((F10+O10*P10*AB10/12)&gt;(O10-G10),(O10-G10)-F10,(O10-G10)*P10*AB10/12),0)+0.5),0)</f>
        <v>0</v>
      </c>
      <c r="AD10" s="331">
        <f t="shared" ref="AD10" si="11">ROUND(INT(MAX(IF((F10+O10*P10*AB10/12)&gt;(1*O10),1*O10-F10,O10*P10*AB10/12),0)+0.5),0)</f>
        <v>0</v>
      </c>
      <c r="AE10" s="314"/>
    </row>
    <row r="11" spans="1:31" s="304" customFormat="1" ht="6" customHeight="1">
      <c r="A11" s="285"/>
      <c r="B11" s="274"/>
      <c r="C11" s="283"/>
      <c r="D11" s="283"/>
      <c r="E11" s="278"/>
      <c r="F11" s="278"/>
      <c r="G11" s="286"/>
      <c r="H11" s="268"/>
      <c r="I11" s="277"/>
      <c r="J11" s="278"/>
      <c r="K11" s="268"/>
      <c r="L11" s="277"/>
      <c r="M11" s="278"/>
      <c r="N11" s="268"/>
      <c r="O11" s="271"/>
      <c r="P11" s="263"/>
      <c r="Q11" s="294"/>
      <c r="R11" s="271"/>
      <c r="S11" s="271"/>
      <c r="T11" s="271"/>
      <c r="U11" s="329"/>
      <c r="V11" s="329"/>
      <c r="W11" s="329"/>
      <c r="X11" s="329"/>
      <c r="Y11" s="329"/>
      <c r="Z11" s="330"/>
      <c r="AA11" s="316"/>
      <c r="AB11" s="316"/>
      <c r="AC11" s="262"/>
      <c r="AD11" s="331"/>
      <c r="AE11" s="314"/>
    </row>
    <row r="12" spans="1:31" s="281" customFormat="1" ht="12.75">
      <c r="A12" s="279" t="s">
        <v>395</v>
      </c>
      <c r="B12" s="287"/>
      <c r="C12" s="288"/>
      <c r="D12" s="288"/>
      <c r="E12" s="289">
        <f>SUM(E10:E11)</f>
        <v>0</v>
      </c>
      <c r="F12" s="289">
        <f>SUM(F10:F11)</f>
        <v>0</v>
      </c>
      <c r="G12" s="289">
        <f>SUM(G10:G11)</f>
        <v>0</v>
      </c>
      <c r="H12" s="332"/>
      <c r="I12" s="332"/>
      <c r="J12" s="289">
        <f>SUM(J10:J11)</f>
        <v>0</v>
      </c>
      <c r="K12" s="332"/>
      <c r="L12" s="332"/>
      <c r="M12" s="289">
        <f>SUM(M10:M11)</f>
        <v>0</v>
      </c>
      <c r="N12" s="332"/>
      <c r="O12" s="289">
        <f>SUM(O10:O11)</f>
        <v>0</v>
      </c>
      <c r="P12" s="333"/>
      <c r="Q12" s="289">
        <f>SUM(Q10:Q11)</f>
        <v>0</v>
      </c>
      <c r="R12" s="289">
        <f>SUM(R10:R11)</f>
        <v>0</v>
      </c>
      <c r="S12" s="289">
        <f>SUM(S10:S11)</f>
        <v>0</v>
      </c>
      <c r="T12" s="289">
        <f>SUM(T10:T11)</f>
        <v>0</v>
      </c>
      <c r="U12" s="334"/>
      <c r="V12" s="289">
        <f>SUM(V10:V11)</f>
        <v>0</v>
      </c>
      <c r="W12" s="289">
        <f>SUM(W10:W11)</f>
        <v>0</v>
      </c>
      <c r="X12" s="289">
        <f>SUM(X10:X11)</f>
        <v>0</v>
      </c>
      <c r="Y12" s="334"/>
      <c r="Z12" s="335"/>
      <c r="AA12" s="336"/>
      <c r="AB12" s="336"/>
      <c r="AC12" s="262"/>
      <c r="AD12" s="331"/>
      <c r="AE12" s="337"/>
    </row>
    <row r="13" spans="1:31" s="281" customFormat="1">
      <c r="A13" s="290"/>
      <c r="B13" s="287"/>
      <c r="C13" s="288"/>
      <c r="D13" s="288"/>
      <c r="E13" s="291"/>
      <c r="F13" s="291"/>
      <c r="G13" s="292"/>
      <c r="H13" s="291"/>
      <c r="I13" s="291"/>
      <c r="J13" s="291"/>
      <c r="K13" s="291"/>
      <c r="L13" s="291"/>
      <c r="M13" s="291"/>
      <c r="N13" s="291"/>
      <c r="O13" s="291"/>
      <c r="P13" s="293"/>
      <c r="Q13" s="291"/>
      <c r="R13" s="291"/>
      <c r="S13" s="291"/>
      <c r="T13" s="291"/>
      <c r="U13" s="334"/>
      <c r="V13" s="334"/>
      <c r="W13" s="334"/>
      <c r="X13" s="334"/>
      <c r="Y13" s="334"/>
      <c r="Z13" s="335"/>
      <c r="AA13" s="336"/>
      <c r="AB13" s="336"/>
      <c r="AC13" s="262"/>
      <c r="AD13" s="331"/>
      <c r="AE13" s="337"/>
    </row>
    <row r="14" spans="1:31" s="304" customFormat="1">
      <c r="A14" s="260" t="s">
        <v>345</v>
      </c>
      <c r="B14" s="261"/>
      <c r="C14" s="283"/>
      <c r="D14" s="283"/>
      <c r="E14" s="278"/>
      <c r="F14" s="278"/>
      <c r="G14" s="282"/>
      <c r="H14" s="268"/>
      <c r="I14" s="277"/>
      <c r="J14" s="278"/>
      <c r="K14" s="268"/>
      <c r="L14" s="277"/>
      <c r="M14" s="278"/>
      <c r="N14" s="268"/>
      <c r="O14" s="271"/>
      <c r="P14" s="263"/>
      <c r="Q14" s="271"/>
      <c r="R14" s="271"/>
      <c r="S14" s="271"/>
      <c r="T14" s="271"/>
      <c r="U14" s="329"/>
      <c r="V14" s="329"/>
      <c r="W14" s="329"/>
      <c r="X14" s="329"/>
      <c r="Y14" s="329"/>
      <c r="Z14" s="330"/>
      <c r="AA14" s="316"/>
      <c r="AB14" s="316"/>
      <c r="AC14" s="262"/>
      <c r="AD14" s="331"/>
      <c r="AE14" s="314"/>
    </row>
    <row r="15" spans="1:31" s="304" customFormat="1" ht="12.75" customHeight="1">
      <c r="A15" s="260"/>
      <c r="B15" s="261"/>
      <c r="C15" s="283"/>
      <c r="D15" s="283"/>
      <c r="E15" s="278"/>
      <c r="F15" s="278"/>
      <c r="G15" s="282"/>
      <c r="H15" s="268"/>
      <c r="I15" s="277"/>
      <c r="J15" s="278"/>
      <c r="K15" s="268"/>
      <c r="L15" s="277"/>
      <c r="M15" s="278"/>
      <c r="N15" s="268"/>
      <c r="O15" s="271"/>
      <c r="P15" s="263"/>
      <c r="Q15" s="271"/>
      <c r="R15" s="271"/>
      <c r="S15" s="271"/>
      <c r="T15" s="271"/>
      <c r="U15" s="329"/>
      <c r="V15" s="329"/>
      <c r="W15" s="329"/>
      <c r="X15" s="329"/>
      <c r="Y15" s="329"/>
      <c r="Z15" s="330"/>
      <c r="AA15" s="316"/>
      <c r="AB15" s="316"/>
      <c r="AC15" s="262"/>
      <c r="AD15" s="331"/>
      <c r="AE15" s="314"/>
    </row>
    <row r="16" spans="1:31" s="304" customFormat="1">
      <c r="A16" s="264" t="s">
        <v>346</v>
      </c>
      <c r="B16" s="265"/>
      <c r="C16" s="266"/>
      <c r="D16" s="266"/>
      <c r="E16" s="267"/>
      <c r="F16" s="267"/>
      <c r="G16" s="267"/>
      <c r="H16" s="268"/>
      <c r="I16" s="269"/>
      <c r="J16" s="270"/>
      <c r="K16" s="268"/>
      <c r="L16" s="269"/>
      <c r="M16" s="270"/>
      <c r="N16" s="268"/>
      <c r="O16" s="271">
        <f t="shared" ref="O16" si="12">IF(AND(E16&gt;0,J16&gt;0),"villa",E16+J16)</f>
        <v>0</v>
      </c>
      <c r="P16" s="284">
        <v>0.1</v>
      </c>
      <c r="Q16" s="272">
        <f t="shared" ref="Q16" si="13">+IF(G16&gt;0,AC16,AD16)</f>
        <v>0</v>
      </c>
      <c r="R16" s="271" t="str">
        <f t="shared" ref="R16" si="14">IF(M16&gt;0,"VILLA",IF(M16&lt;0,E16-F16+J16-Q16+M16,"0"))</f>
        <v>0</v>
      </c>
      <c r="S16" s="271">
        <f t="shared" ref="S16" si="15">IF(M16&lt;0,0,F16+Q16)</f>
        <v>0</v>
      </c>
      <c r="T16" s="271">
        <f t="shared" ref="T16" si="16">IF(M16&lt;0,0,O16-S16)</f>
        <v>0</v>
      </c>
      <c r="U16" s="329"/>
      <c r="V16" s="329">
        <f t="shared" ref="V16" si="17">+IF($M16&lt;0,E16+J16,0)</f>
        <v>0</v>
      </c>
      <c r="W16" s="329">
        <f t="shared" ref="W16" si="18">+IF($M16&lt;0,F16+Q16,0)</f>
        <v>0</v>
      </c>
      <c r="X16" s="329">
        <f t="shared" ref="X16" si="19">+V16-W16</f>
        <v>0</v>
      </c>
      <c r="Y16" s="329"/>
      <c r="Z16" s="330">
        <f t="shared" ref="Z16" si="20">IF(J16&gt;0,I16,0)</f>
        <v>0</v>
      </c>
      <c r="AA16" s="316">
        <f t="shared" ref="AA16" si="21">IF(M16&lt;0,L16,0)</f>
        <v>0</v>
      </c>
      <c r="AB16" s="316" t="str">
        <f t="shared" ref="AB16" si="22">IF(AND(Z16=0,AA16=0),MAN,IF(AND(Z16&gt;0,AA16&gt;0),AA16-Z16,IF(Z16&gt;0,MAN-Z16+1,AA16-1)))</f>
        <v>12</v>
      </c>
      <c r="AC16" s="262">
        <f t="shared" ref="AC16" si="23">ROUND(INT(MAX(IF((F16+O16*P16*AB16/12)&gt;(O16-G16),(O16-G16)-F16,(O16-G16)*P16*AB16/12),0)+0.5),0)</f>
        <v>0</v>
      </c>
      <c r="AD16" s="331">
        <f t="shared" ref="AD16" si="24">ROUND(INT(MAX(IF((F16+O16*P16*AB16/12)&gt;(1*O16),1*O16-F16,O16*P16*AB16/12),0)+0.5),0)</f>
        <v>0</v>
      </c>
      <c r="AE16" s="314"/>
    </row>
    <row r="17" spans="1:31" s="304" customFormat="1" ht="8.25" customHeight="1">
      <c r="A17" s="273"/>
      <c r="B17" s="265"/>
      <c r="C17" s="274"/>
      <c r="D17" s="274"/>
      <c r="E17" s="275"/>
      <c r="F17" s="275"/>
      <c r="G17" s="276"/>
      <c r="H17" s="268"/>
      <c r="I17" s="277"/>
      <c r="J17" s="278"/>
      <c r="K17" s="268"/>
      <c r="L17" s="277"/>
      <c r="M17" s="278"/>
      <c r="N17" s="268"/>
      <c r="O17" s="271"/>
      <c r="P17" s="263"/>
      <c r="Q17" s="271"/>
      <c r="R17" s="271"/>
      <c r="S17" s="271"/>
      <c r="T17" s="271"/>
      <c r="U17" s="329"/>
      <c r="V17" s="329"/>
      <c r="W17" s="329"/>
      <c r="X17" s="329"/>
      <c r="Y17" s="329"/>
      <c r="Z17" s="330"/>
      <c r="AA17" s="316"/>
      <c r="AB17" s="316"/>
      <c r="AC17" s="262"/>
      <c r="AD17" s="331"/>
      <c r="AE17" s="314"/>
    </row>
    <row r="18" spans="1:31" s="281" customFormat="1" ht="12.75">
      <c r="A18" s="279" t="s">
        <v>414</v>
      </c>
      <c r="B18" s="297"/>
      <c r="C18" s="287"/>
      <c r="D18" s="287"/>
      <c r="E18" s="280">
        <f>SUM(E16:E17)</f>
        <v>0</v>
      </c>
      <c r="F18" s="280">
        <f>SUM(F16:F17)</f>
        <v>0</v>
      </c>
      <c r="G18" s="280">
        <f>SUM(G16:G17)</f>
        <v>0</v>
      </c>
      <c r="H18" s="332"/>
      <c r="I18" s="332"/>
      <c r="J18" s="280">
        <f>SUM(J16:J17)</f>
        <v>0</v>
      </c>
      <c r="K18" s="332"/>
      <c r="L18" s="332"/>
      <c r="M18" s="280">
        <f>SUM(M16:M17)</f>
        <v>0</v>
      </c>
      <c r="N18" s="332"/>
      <c r="O18" s="280">
        <f>SUM(O16:O17)</f>
        <v>0</v>
      </c>
      <c r="P18" s="333"/>
      <c r="Q18" s="280">
        <f>SUM(Q16:Q17)</f>
        <v>0</v>
      </c>
      <c r="R18" s="280">
        <f>SUM(R16:R17)</f>
        <v>0</v>
      </c>
      <c r="S18" s="280">
        <f>SUM(S16:S17)</f>
        <v>0</v>
      </c>
      <c r="T18" s="280">
        <f>SUM(T16:T17)</f>
        <v>0</v>
      </c>
      <c r="U18" s="334"/>
      <c r="V18" s="280">
        <f>SUM(V16:V17)</f>
        <v>0</v>
      </c>
      <c r="W18" s="280">
        <f>SUM(W16:W17)</f>
        <v>0</v>
      </c>
      <c r="X18" s="280">
        <f>SUM(X16:X17)</f>
        <v>0</v>
      </c>
      <c r="Y18" s="334"/>
      <c r="Z18" s="335"/>
      <c r="AA18" s="336"/>
      <c r="AB18" s="336"/>
      <c r="AC18" s="262"/>
      <c r="AD18" s="331"/>
      <c r="AE18" s="337"/>
    </row>
    <row r="19" spans="1:31" s="304" customFormat="1" ht="15.75" customHeight="1">
      <c r="A19" s="338"/>
      <c r="B19" s="339"/>
      <c r="C19" s="339"/>
      <c r="D19" s="339"/>
      <c r="E19" s="340"/>
      <c r="F19" s="340"/>
      <c r="G19" s="341"/>
      <c r="H19" s="342"/>
      <c r="I19" s="343"/>
      <c r="J19" s="344"/>
      <c r="K19" s="342"/>
      <c r="L19" s="343"/>
      <c r="M19" s="344"/>
      <c r="N19" s="342"/>
      <c r="O19" s="271"/>
      <c r="P19" s="263"/>
      <c r="Q19" s="271"/>
      <c r="R19" s="271"/>
      <c r="S19" s="271"/>
      <c r="T19" s="271"/>
      <c r="U19" s="329"/>
      <c r="V19" s="329"/>
      <c r="W19" s="329"/>
      <c r="X19" s="329"/>
      <c r="Y19" s="329"/>
      <c r="Z19" s="316"/>
      <c r="AA19" s="316"/>
      <c r="AB19" s="316"/>
      <c r="AC19" s="262"/>
      <c r="AD19" s="262"/>
      <c r="AE19" s="314"/>
    </row>
    <row r="20" spans="1:31" s="304" customFormat="1" ht="13.5" thickBot="1">
      <c r="A20" s="279" t="s">
        <v>396</v>
      </c>
      <c r="B20" s="305"/>
      <c r="C20" s="305"/>
      <c r="D20" s="305"/>
      <c r="E20" s="308">
        <f>+E12+E18</f>
        <v>0</v>
      </c>
      <c r="F20" s="308">
        <f>+F12+F18</f>
        <v>0</v>
      </c>
      <c r="G20" s="308">
        <f>+G12+G18</f>
        <v>0</v>
      </c>
      <c r="H20" s="345"/>
      <c r="I20" s="345"/>
      <c r="J20" s="308">
        <f>+J12+J18</f>
        <v>0</v>
      </c>
      <c r="K20" s="345"/>
      <c r="L20" s="345"/>
      <c r="M20" s="308">
        <f>+M12+M18</f>
        <v>0</v>
      </c>
      <c r="N20" s="345"/>
      <c r="O20" s="308">
        <f>+O12+O18</f>
        <v>0</v>
      </c>
      <c r="P20" s="346"/>
      <c r="Q20" s="308">
        <f>+Q12+Q18</f>
        <v>0</v>
      </c>
      <c r="R20" s="308">
        <f>+R12+R18</f>
        <v>0</v>
      </c>
      <c r="S20" s="308">
        <f>+S12+S18</f>
        <v>0</v>
      </c>
      <c r="T20" s="308">
        <f>+T12+T18</f>
        <v>0</v>
      </c>
      <c r="U20" s="306"/>
      <c r="V20" s="308">
        <f>+V12+V18</f>
        <v>0</v>
      </c>
      <c r="W20" s="308">
        <f>+W12+W18</f>
        <v>0</v>
      </c>
      <c r="X20" s="308">
        <f>+X12+X18</f>
        <v>0</v>
      </c>
      <c r="Y20" s="306"/>
      <c r="Z20" s="347"/>
      <c r="AA20" s="347"/>
      <c r="AB20" s="347"/>
      <c r="AC20" s="314"/>
      <c r="AD20" s="314"/>
      <c r="AE20" s="314"/>
    </row>
    <row r="21" spans="1:31" s="304" customFormat="1" ht="12.75" thickTop="1">
      <c r="B21" s="305"/>
      <c r="C21" s="305"/>
      <c r="D21" s="305"/>
      <c r="E21" s="272"/>
      <c r="F21" s="272"/>
      <c r="G21" s="272"/>
      <c r="H21" s="306"/>
      <c r="I21" s="307"/>
      <c r="J21" s="272"/>
      <c r="K21" s="306"/>
      <c r="L21" s="307"/>
      <c r="M21" s="272"/>
      <c r="N21" s="306"/>
      <c r="O21" s="272"/>
      <c r="P21" s="263"/>
      <c r="Q21" s="272"/>
      <c r="R21" s="272"/>
      <c r="S21" s="272"/>
      <c r="T21" s="272"/>
      <c r="U21" s="306"/>
      <c r="V21" s="306"/>
      <c r="W21" s="306"/>
      <c r="X21" s="306"/>
      <c r="Y21" s="306"/>
      <c r="Z21" s="347"/>
      <c r="AA21" s="347"/>
      <c r="AB21" s="347"/>
      <c r="AC21" s="314"/>
      <c r="AD21" s="314"/>
      <c r="AE21" s="314"/>
    </row>
    <row r="22" spans="1:31" s="304" customFormat="1">
      <c r="B22" s="305"/>
      <c r="C22" s="305"/>
      <c r="D22" s="305"/>
      <c r="E22" s="272"/>
      <c r="F22" s="272"/>
      <c r="G22" s="272"/>
      <c r="H22" s="306"/>
      <c r="I22" s="307"/>
      <c r="J22" s="272"/>
      <c r="K22" s="306"/>
      <c r="L22" s="307"/>
      <c r="M22" s="272"/>
      <c r="N22" s="306"/>
      <c r="O22" s="272"/>
      <c r="P22" s="263"/>
      <c r="Q22" s="272"/>
      <c r="R22" s="272"/>
      <c r="S22" s="272"/>
      <c r="T22" s="272"/>
      <c r="U22" s="306"/>
      <c r="V22" s="306"/>
      <c r="W22" s="306"/>
      <c r="X22" s="306"/>
      <c r="Y22" s="306"/>
      <c r="Z22" s="347"/>
      <c r="AA22" s="347"/>
      <c r="AB22" s="347"/>
      <c r="AC22" s="314"/>
      <c r="AD22" s="314"/>
      <c r="AE22" s="314"/>
    </row>
    <row r="23" spans="1:31" ht="12.75">
      <c r="A23" s="546" t="s">
        <v>647</v>
      </c>
      <c r="C23" s="299"/>
      <c r="D23" s="299"/>
      <c r="E23" s="300"/>
      <c r="F23" s="300"/>
      <c r="G23" s="300"/>
      <c r="H23" s="301"/>
      <c r="I23" s="302"/>
      <c r="J23" s="300"/>
      <c r="K23" s="301"/>
      <c r="L23" s="302"/>
      <c r="M23" s="300"/>
      <c r="N23" s="301"/>
      <c r="O23" s="300"/>
      <c r="Q23" s="300"/>
      <c r="R23" s="300"/>
      <c r="S23" s="300"/>
      <c r="T23" s="300"/>
      <c r="U23" s="301"/>
      <c r="V23" s="301"/>
      <c r="W23" s="301"/>
      <c r="X23" s="301"/>
      <c r="Y23" s="301"/>
    </row>
    <row r="24" spans="1:31">
      <c r="C24" s="299"/>
      <c r="D24" s="299"/>
      <c r="E24" s="300"/>
      <c r="F24" s="300"/>
      <c r="G24" s="300"/>
      <c r="H24" s="301"/>
      <c r="I24" s="302"/>
      <c r="J24" s="300"/>
      <c r="K24" s="301"/>
      <c r="L24" s="302"/>
      <c r="M24" s="300"/>
      <c r="N24" s="301"/>
      <c r="O24" s="300"/>
      <c r="Q24" s="300"/>
      <c r="R24" s="300"/>
      <c r="S24" s="300"/>
      <c r="T24" s="300"/>
      <c r="U24" s="301"/>
      <c r="V24" s="301"/>
      <c r="W24" s="301"/>
      <c r="X24" s="301"/>
      <c r="Y24" s="301"/>
    </row>
    <row r="25" spans="1:31">
      <c r="C25" s="299"/>
      <c r="D25" s="299"/>
      <c r="E25" s="300"/>
      <c r="F25" s="300"/>
      <c r="G25" s="300"/>
      <c r="H25" s="301"/>
      <c r="I25" s="302"/>
      <c r="J25" s="300"/>
      <c r="K25" s="301"/>
      <c r="L25" s="302"/>
      <c r="M25" s="300"/>
      <c r="N25" s="301"/>
      <c r="O25" s="300"/>
      <c r="Q25" s="300"/>
      <c r="R25" s="300"/>
      <c r="S25" s="300"/>
      <c r="T25" s="300"/>
      <c r="U25" s="301"/>
      <c r="V25" s="301"/>
      <c r="W25" s="301"/>
      <c r="X25" s="301"/>
      <c r="Y25" s="301"/>
    </row>
    <row r="26" spans="1:31">
      <c r="C26" s="299"/>
      <c r="D26" s="299"/>
      <c r="E26" s="300"/>
      <c r="F26" s="300"/>
      <c r="G26" s="300"/>
      <c r="H26" s="301"/>
      <c r="I26" s="302"/>
      <c r="J26" s="300"/>
      <c r="K26" s="301"/>
      <c r="L26" s="302"/>
      <c r="M26" s="300"/>
      <c r="N26" s="301"/>
      <c r="O26" s="300"/>
      <c r="Q26" s="300"/>
      <c r="R26" s="300"/>
      <c r="S26" s="300"/>
      <c r="T26" s="300"/>
      <c r="U26" s="301"/>
      <c r="V26" s="301"/>
      <c r="W26" s="301"/>
      <c r="X26" s="301"/>
      <c r="Y26" s="301"/>
    </row>
    <row r="27" spans="1:31">
      <c r="C27" s="299"/>
      <c r="D27" s="299"/>
      <c r="E27" s="300"/>
      <c r="F27" s="300"/>
      <c r="G27" s="300"/>
      <c r="H27" s="301"/>
      <c r="I27" s="302"/>
      <c r="J27" s="300"/>
      <c r="K27" s="301"/>
      <c r="L27" s="302"/>
      <c r="M27" s="300"/>
      <c r="N27" s="301"/>
      <c r="O27" s="300"/>
      <c r="Q27" s="300"/>
      <c r="R27" s="300"/>
      <c r="S27" s="300"/>
      <c r="T27" s="300"/>
      <c r="U27" s="301"/>
      <c r="V27" s="301"/>
      <c r="W27" s="301"/>
      <c r="X27" s="301"/>
      <c r="Y27" s="301"/>
    </row>
    <row r="28" spans="1:31">
      <c r="C28" s="299"/>
      <c r="D28" s="299"/>
      <c r="E28" s="300"/>
      <c r="F28" s="300"/>
      <c r="G28" s="300"/>
      <c r="H28" s="301"/>
      <c r="I28" s="302"/>
      <c r="J28" s="300"/>
      <c r="K28" s="301"/>
      <c r="L28" s="302"/>
      <c r="M28" s="300"/>
      <c r="N28" s="301"/>
      <c r="O28" s="300"/>
      <c r="Q28" s="300"/>
      <c r="R28" s="300"/>
      <c r="S28" s="300"/>
      <c r="T28" s="300"/>
      <c r="U28" s="301"/>
      <c r="V28" s="301"/>
      <c r="W28" s="301"/>
      <c r="X28" s="301"/>
      <c r="Y28" s="301"/>
    </row>
    <row r="29" spans="1:31">
      <c r="C29" s="299"/>
      <c r="D29" s="299"/>
      <c r="E29" s="300"/>
      <c r="F29" s="300"/>
      <c r="G29" s="300"/>
      <c r="H29" s="301"/>
      <c r="I29" s="302"/>
      <c r="J29" s="300"/>
      <c r="K29" s="301"/>
      <c r="L29" s="302"/>
      <c r="M29" s="300"/>
      <c r="N29" s="301"/>
      <c r="O29" s="300"/>
      <c r="Q29" s="300"/>
      <c r="R29" s="300"/>
      <c r="S29" s="300"/>
      <c r="T29" s="300"/>
      <c r="U29" s="301"/>
      <c r="V29" s="301"/>
      <c r="W29" s="301"/>
      <c r="X29" s="301"/>
      <c r="Y29" s="301"/>
    </row>
    <row r="30" spans="1:31">
      <c r="C30" s="299"/>
      <c r="D30" s="299"/>
      <c r="E30" s="300"/>
      <c r="F30" s="300"/>
      <c r="G30" s="300"/>
      <c r="H30" s="301"/>
      <c r="I30" s="302"/>
      <c r="J30" s="300"/>
      <c r="K30" s="301"/>
      <c r="L30" s="302"/>
      <c r="M30" s="300"/>
      <c r="N30" s="301"/>
      <c r="O30" s="300"/>
      <c r="Q30" s="300"/>
      <c r="R30" s="300"/>
      <c r="S30" s="300"/>
      <c r="T30" s="300"/>
      <c r="U30" s="301"/>
      <c r="V30" s="301"/>
      <c r="W30" s="301"/>
      <c r="X30" s="301"/>
      <c r="Y30" s="301"/>
    </row>
    <row r="31" spans="1:31">
      <c r="C31" s="299"/>
      <c r="D31" s="299"/>
      <c r="E31" s="300"/>
      <c r="F31" s="300"/>
      <c r="G31" s="300"/>
      <c r="H31" s="301"/>
      <c r="I31" s="302"/>
      <c r="J31" s="300"/>
      <c r="K31" s="301"/>
      <c r="L31" s="302"/>
      <c r="M31" s="300"/>
      <c r="N31" s="301"/>
      <c r="O31" s="300"/>
      <c r="Q31" s="300"/>
      <c r="R31" s="300"/>
      <c r="S31" s="300"/>
      <c r="T31" s="300"/>
      <c r="U31" s="301"/>
      <c r="V31" s="301"/>
      <c r="W31" s="301"/>
      <c r="X31" s="301"/>
      <c r="Y31" s="301"/>
    </row>
    <row r="32" spans="1:31">
      <c r="C32" s="299"/>
      <c r="D32" s="299"/>
      <c r="E32" s="300"/>
      <c r="F32" s="300"/>
      <c r="G32" s="300"/>
      <c r="H32" s="301"/>
      <c r="I32" s="302"/>
      <c r="J32" s="300"/>
      <c r="K32" s="301"/>
      <c r="L32" s="302"/>
      <c r="M32" s="300"/>
      <c r="N32" s="301"/>
      <c r="O32" s="300"/>
    </row>
    <row r="33" spans="1:235">
      <c r="C33" s="299"/>
      <c r="D33" s="299"/>
      <c r="E33" s="300"/>
      <c r="F33" s="300"/>
      <c r="G33" s="300"/>
      <c r="H33" s="301"/>
      <c r="I33" s="302"/>
      <c r="J33" s="300"/>
      <c r="K33" s="301"/>
      <c r="L33" s="302"/>
      <c r="M33" s="300"/>
      <c r="N33" s="301"/>
      <c r="O33" s="300"/>
    </row>
    <row r="34" spans="1:235" s="303" customFormat="1">
      <c r="A34" s="298"/>
      <c r="B34" s="299"/>
      <c r="C34" s="299"/>
      <c r="D34" s="299"/>
      <c r="E34" s="300"/>
      <c r="F34" s="300"/>
      <c r="G34" s="300"/>
      <c r="H34" s="301"/>
      <c r="I34" s="302"/>
      <c r="J34" s="300"/>
      <c r="K34" s="301"/>
      <c r="L34" s="302"/>
      <c r="M34" s="300"/>
      <c r="N34" s="301"/>
      <c r="O34" s="300"/>
      <c r="Q34" s="298"/>
      <c r="R34" s="298"/>
      <c r="S34" s="298"/>
      <c r="T34" s="298"/>
      <c r="U34" s="349"/>
      <c r="V34" s="349"/>
      <c r="W34" s="349"/>
      <c r="X34" s="349"/>
      <c r="Y34" s="349"/>
      <c r="Z34" s="348"/>
      <c r="AA34" s="348"/>
      <c r="AB34" s="348"/>
      <c r="AC34" s="349"/>
      <c r="AD34" s="349"/>
      <c r="AE34" s="349"/>
      <c r="AF34" s="298"/>
      <c r="AG34" s="298"/>
      <c r="AH34" s="298"/>
      <c r="AI34" s="298"/>
      <c r="AJ34" s="298"/>
      <c r="AK34" s="298"/>
      <c r="AL34" s="298"/>
      <c r="AM34" s="298"/>
      <c r="AN34" s="298"/>
      <c r="AO34" s="298"/>
      <c r="AP34" s="298"/>
      <c r="AQ34" s="298"/>
      <c r="AR34" s="298"/>
      <c r="AS34" s="298"/>
      <c r="AT34" s="298"/>
      <c r="AU34" s="298"/>
      <c r="AV34" s="298"/>
      <c r="AW34" s="298"/>
      <c r="AX34" s="298"/>
      <c r="AY34" s="298"/>
      <c r="AZ34" s="298"/>
      <c r="BA34" s="298"/>
      <c r="BB34" s="298"/>
      <c r="BC34" s="298"/>
      <c r="BD34" s="298"/>
      <c r="BE34" s="298"/>
      <c r="BF34" s="298"/>
      <c r="BG34" s="298"/>
      <c r="BH34" s="298"/>
      <c r="BI34" s="298"/>
      <c r="BJ34" s="298"/>
      <c r="BK34" s="298"/>
      <c r="BL34" s="298"/>
      <c r="BM34" s="298"/>
      <c r="BN34" s="298"/>
      <c r="BO34" s="298"/>
      <c r="BP34" s="298"/>
      <c r="BQ34" s="298"/>
      <c r="BR34" s="298"/>
      <c r="BS34" s="298"/>
      <c r="BT34" s="298"/>
      <c r="BU34" s="298"/>
      <c r="BV34" s="298"/>
      <c r="BW34" s="298"/>
      <c r="BX34" s="298"/>
      <c r="BY34" s="298"/>
      <c r="BZ34" s="298"/>
      <c r="CA34" s="298"/>
      <c r="CB34" s="298"/>
      <c r="CC34" s="298"/>
      <c r="CD34" s="298"/>
      <c r="CE34" s="298"/>
      <c r="CF34" s="298"/>
      <c r="CG34" s="298"/>
      <c r="CH34" s="298"/>
      <c r="CI34" s="298"/>
      <c r="CJ34" s="298"/>
      <c r="CK34" s="298"/>
      <c r="CL34" s="298"/>
      <c r="CM34" s="298"/>
      <c r="CN34" s="298"/>
      <c r="CO34" s="298"/>
      <c r="CP34" s="298"/>
      <c r="CQ34" s="298"/>
      <c r="CR34" s="298"/>
      <c r="CS34" s="298"/>
      <c r="CT34" s="298"/>
      <c r="CU34" s="298"/>
      <c r="CV34" s="298"/>
      <c r="CW34" s="298"/>
      <c r="CX34" s="298"/>
      <c r="CY34" s="298"/>
      <c r="CZ34" s="298"/>
      <c r="DA34" s="298"/>
      <c r="DB34" s="298"/>
      <c r="DC34" s="298"/>
      <c r="DD34" s="298"/>
      <c r="DE34" s="298"/>
      <c r="DF34" s="298"/>
      <c r="DG34" s="298"/>
      <c r="DH34" s="298"/>
      <c r="DI34" s="298"/>
      <c r="DJ34" s="298"/>
      <c r="DK34" s="298"/>
      <c r="DL34" s="298"/>
      <c r="DM34" s="298"/>
      <c r="DN34" s="298"/>
      <c r="DO34" s="298"/>
      <c r="DP34" s="298"/>
      <c r="DQ34" s="298"/>
      <c r="DR34" s="298"/>
      <c r="DS34" s="298"/>
      <c r="DT34" s="298"/>
      <c r="DU34" s="298"/>
      <c r="DV34" s="298"/>
      <c r="DW34" s="298"/>
      <c r="DX34" s="298"/>
      <c r="DY34" s="298"/>
      <c r="DZ34" s="298"/>
      <c r="EA34" s="298"/>
      <c r="EB34" s="298"/>
      <c r="EC34" s="298"/>
      <c r="ED34" s="298"/>
      <c r="EE34" s="298"/>
      <c r="EF34" s="298"/>
      <c r="EG34" s="298"/>
      <c r="EH34" s="298"/>
      <c r="EI34" s="298"/>
      <c r="EJ34" s="298"/>
      <c r="EK34" s="298"/>
      <c r="EL34" s="298"/>
      <c r="EM34" s="298"/>
      <c r="EN34" s="298"/>
      <c r="EO34" s="298"/>
      <c r="EP34" s="298"/>
      <c r="EQ34" s="298"/>
      <c r="ER34" s="298"/>
      <c r="ES34" s="298"/>
      <c r="ET34" s="298"/>
      <c r="EU34" s="298"/>
      <c r="EV34" s="298"/>
      <c r="EW34" s="298"/>
      <c r="EX34" s="298"/>
      <c r="EY34" s="298"/>
      <c r="EZ34" s="298"/>
      <c r="FA34" s="298"/>
      <c r="FB34" s="298"/>
      <c r="FC34" s="298"/>
      <c r="FD34" s="298"/>
      <c r="FE34" s="298"/>
      <c r="FF34" s="298"/>
      <c r="FG34" s="298"/>
      <c r="FH34" s="298"/>
      <c r="FI34" s="298"/>
      <c r="FJ34" s="298"/>
      <c r="FK34" s="298"/>
      <c r="FL34" s="298"/>
      <c r="FM34" s="298"/>
      <c r="FN34" s="298"/>
      <c r="FO34" s="298"/>
      <c r="FP34" s="298"/>
      <c r="FQ34" s="298"/>
      <c r="FR34" s="298"/>
      <c r="FS34" s="298"/>
      <c r="FT34" s="298"/>
      <c r="FU34" s="298"/>
      <c r="FV34" s="298"/>
      <c r="FW34" s="298"/>
      <c r="FX34" s="298"/>
      <c r="FY34" s="298"/>
      <c r="FZ34" s="298"/>
      <c r="GA34" s="298"/>
      <c r="GB34" s="298"/>
      <c r="GC34" s="298"/>
      <c r="GD34" s="298"/>
      <c r="GE34" s="298"/>
      <c r="GF34" s="298"/>
      <c r="GG34" s="298"/>
      <c r="GH34" s="298"/>
      <c r="GI34" s="298"/>
      <c r="GJ34" s="298"/>
      <c r="GK34" s="298"/>
      <c r="GL34" s="298"/>
      <c r="GM34" s="298"/>
      <c r="GN34" s="298"/>
      <c r="GO34" s="298"/>
      <c r="GP34" s="298"/>
      <c r="GQ34" s="298"/>
      <c r="GR34" s="298"/>
      <c r="GS34" s="298"/>
      <c r="GT34" s="298"/>
      <c r="GU34" s="298"/>
      <c r="GV34" s="298"/>
      <c r="GW34" s="298"/>
      <c r="GX34" s="298"/>
      <c r="GY34" s="298"/>
      <c r="GZ34" s="298"/>
      <c r="HA34" s="298"/>
      <c r="HB34" s="298"/>
      <c r="HC34" s="298"/>
      <c r="HD34" s="298"/>
      <c r="HE34" s="298"/>
      <c r="HF34" s="298"/>
      <c r="HG34" s="298"/>
      <c r="HH34" s="298"/>
      <c r="HI34" s="298"/>
      <c r="HJ34" s="298"/>
      <c r="HK34" s="298"/>
      <c r="HL34" s="298"/>
      <c r="HM34" s="298"/>
      <c r="HN34" s="298"/>
      <c r="HO34" s="298"/>
      <c r="HP34" s="298"/>
      <c r="HQ34" s="298"/>
      <c r="HR34" s="298"/>
      <c r="HS34" s="298"/>
      <c r="HT34" s="298"/>
      <c r="HU34" s="298"/>
      <c r="HV34" s="298"/>
      <c r="HW34" s="298"/>
      <c r="HX34" s="298"/>
      <c r="HY34" s="298"/>
      <c r="HZ34" s="298"/>
      <c r="IA34" s="298"/>
    </row>
    <row r="35" spans="1:235" s="303" customFormat="1">
      <c r="A35" s="298"/>
      <c r="B35" s="299"/>
      <c r="C35" s="299"/>
      <c r="D35" s="299"/>
      <c r="E35" s="300"/>
      <c r="F35" s="300"/>
      <c r="G35" s="300"/>
      <c r="H35" s="301"/>
      <c r="I35" s="302"/>
      <c r="J35" s="300"/>
      <c r="K35" s="301"/>
      <c r="L35" s="302"/>
      <c r="M35" s="300"/>
      <c r="N35" s="301"/>
      <c r="O35" s="300"/>
      <c r="Q35" s="298"/>
      <c r="R35" s="298"/>
      <c r="S35" s="298"/>
      <c r="T35" s="298"/>
      <c r="U35" s="349"/>
      <c r="V35" s="349"/>
      <c r="W35" s="349"/>
      <c r="X35" s="349"/>
      <c r="Y35" s="349"/>
      <c r="Z35" s="348"/>
      <c r="AA35" s="348"/>
      <c r="AB35" s="348"/>
      <c r="AC35" s="349"/>
      <c r="AD35" s="349"/>
      <c r="AE35" s="349"/>
      <c r="AF35" s="298"/>
      <c r="AG35" s="298"/>
      <c r="AH35" s="298"/>
      <c r="AI35" s="298"/>
      <c r="AJ35" s="298"/>
      <c r="AK35" s="298"/>
      <c r="AL35" s="298"/>
      <c r="AM35" s="298"/>
      <c r="AN35" s="298"/>
      <c r="AO35" s="298"/>
      <c r="AP35" s="298"/>
      <c r="AQ35" s="298"/>
      <c r="AR35" s="298"/>
      <c r="AS35" s="298"/>
      <c r="AT35" s="298"/>
      <c r="AU35" s="298"/>
      <c r="AV35" s="298"/>
      <c r="AW35" s="298"/>
      <c r="AX35" s="298"/>
      <c r="AY35" s="298"/>
      <c r="AZ35" s="298"/>
      <c r="BA35" s="298"/>
      <c r="BB35" s="298"/>
      <c r="BC35" s="298"/>
      <c r="BD35" s="298"/>
      <c r="BE35" s="298"/>
      <c r="BF35" s="298"/>
      <c r="BG35" s="298"/>
      <c r="BH35" s="298"/>
      <c r="BI35" s="298"/>
      <c r="BJ35" s="298"/>
      <c r="BK35" s="298"/>
      <c r="BL35" s="298"/>
      <c r="BM35" s="298"/>
      <c r="BN35" s="298"/>
      <c r="BO35" s="298"/>
      <c r="BP35" s="298"/>
      <c r="BQ35" s="298"/>
      <c r="BR35" s="298"/>
      <c r="BS35" s="298"/>
      <c r="BT35" s="298"/>
      <c r="BU35" s="298"/>
      <c r="BV35" s="298"/>
      <c r="BW35" s="298"/>
      <c r="BX35" s="298"/>
      <c r="BY35" s="298"/>
      <c r="BZ35" s="298"/>
      <c r="CA35" s="298"/>
      <c r="CB35" s="298"/>
      <c r="CC35" s="298"/>
      <c r="CD35" s="298"/>
      <c r="CE35" s="298"/>
      <c r="CF35" s="298"/>
      <c r="CG35" s="298"/>
      <c r="CH35" s="298"/>
      <c r="CI35" s="298"/>
      <c r="CJ35" s="298"/>
      <c r="CK35" s="298"/>
      <c r="CL35" s="298"/>
      <c r="CM35" s="298"/>
      <c r="CN35" s="298"/>
      <c r="CO35" s="298"/>
      <c r="CP35" s="298"/>
      <c r="CQ35" s="298"/>
      <c r="CR35" s="298"/>
      <c r="CS35" s="298"/>
      <c r="CT35" s="298"/>
      <c r="CU35" s="298"/>
      <c r="CV35" s="298"/>
      <c r="CW35" s="298"/>
      <c r="CX35" s="298"/>
      <c r="CY35" s="298"/>
      <c r="CZ35" s="298"/>
      <c r="DA35" s="298"/>
      <c r="DB35" s="298"/>
      <c r="DC35" s="298"/>
      <c r="DD35" s="298"/>
      <c r="DE35" s="298"/>
      <c r="DF35" s="298"/>
      <c r="DG35" s="298"/>
      <c r="DH35" s="298"/>
      <c r="DI35" s="298"/>
      <c r="DJ35" s="298"/>
      <c r="DK35" s="298"/>
      <c r="DL35" s="298"/>
      <c r="DM35" s="298"/>
      <c r="DN35" s="298"/>
      <c r="DO35" s="298"/>
      <c r="DP35" s="298"/>
      <c r="DQ35" s="298"/>
      <c r="DR35" s="298"/>
      <c r="DS35" s="298"/>
      <c r="DT35" s="298"/>
      <c r="DU35" s="298"/>
      <c r="DV35" s="298"/>
      <c r="DW35" s="298"/>
      <c r="DX35" s="298"/>
      <c r="DY35" s="298"/>
      <c r="DZ35" s="298"/>
      <c r="EA35" s="298"/>
      <c r="EB35" s="298"/>
      <c r="EC35" s="298"/>
      <c r="ED35" s="298"/>
      <c r="EE35" s="298"/>
      <c r="EF35" s="298"/>
      <c r="EG35" s="298"/>
      <c r="EH35" s="298"/>
      <c r="EI35" s="298"/>
      <c r="EJ35" s="298"/>
      <c r="EK35" s="298"/>
      <c r="EL35" s="298"/>
      <c r="EM35" s="298"/>
      <c r="EN35" s="298"/>
      <c r="EO35" s="298"/>
      <c r="EP35" s="298"/>
      <c r="EQ35" s="298"/>
      <c r="ER35" s="298"/>
      <c r="ES35" s="298"/>
      <c r="ET35" s="298"/>
      <c r="EU35" s="298"/>
      <c r="EV35" s="298"/>
      <c r="EW35" s="298"/>
      <c r="EX35" s="298"/>
      <c r="EY35" s="298"/>
      <c r="EZ35" s="298"/>
      <c r="FA35" s="298"/>
      <c r="FB35" s="298"/>
      <c r="FC35" s="298"/>
      <c r="FD35" s="298"/>
      <c r="FE35" s="298"/>
      <c r="FF35" s="298"/>
      <c r="FG35" s="298"/>
      <c r="FH35" s="298"/>
      <c r="FI35" s="298"/>
      <c r="FJ35" s="298"/>
      <c r="FK35" s="298"/>
      <c r="FL35" s="298"/>
      <c r="FM35" s="298"/>
      <c r="FN35" s="298"/>
      <c r="FO35" s="298"/>
      <c r="FP35" s="298"/>
      <c r="FQ35" s="298"/>
      <c r="FR35" s="298"/>
      <c r="FS35" s="298"/>
      <c r="FT35" s="298"/>
      <c r="FU35" s="298"/>
      <c r="FV35" s="298"/>
      <c r="FW35" s="298"/>
      <c r="FX35" s="298"/>
      <c r="FY35" s="298"/>
      <c r="FZ35" s="298"/>
      <c r="GA35" s="298"/>
      <c r="GB35" s="298"/>
      <c r="GC35" s="298"/>
      <c r="GD35" s="298"/>
      <c r="GE35" s="298"/>
      <c r="GF35" s="298"/>
      <c r="GG35" s="298"/>
      <c r="GH35" s="298"/>
      <c r="GI35" s="298"/>
      <c r="GJ35" s="298"/>
      <c r="GK35" s="298"/>
      <c r="GL35" s="298"/>
      <c r="GM35" s="298"/>
      <c r="GN35" s="298"/>
      <c r="GO35" s="298"/>
      <c r="GP35" s="298"/>
      <c r="GQ35" s="298"/>
      <c r="GR35" s="298"/>
      <c r="GS35" s="298"/>
      <c r="GT35" s="298"/>
      <c r="GU35" s="298"/>
      <c r="GV35" s="298"/>
      <c r="GW35" s="298"/>
      <c r="GX35" s="298"/>
      <c r="GY35" s="298"/>
      <c r="GZ35" s="298"/>
      <c r="HA35" s="298"/>
      <c r="HB35" s="298"/>
      <c r="HC35" s="298"/>
      <c r="HD35" s="298"/>
      <c r="HE35" s="298"/>
      <c r="HF35" s="298"/>
      <c r="HG35" s="298"/>
      <c r="HH35" s="298"/>
      <c r="HI35" s="298"/>
      <c r="HJ35" s="298"/>
      <c r="HK35" s="298"/>
      <c r="HL35" s="298"/>
      <c r="HM35" s="298"/>
      <c r="HN35" s="298"/>
      <c r="HO35" s="298"/>
      <c r="HP35" s="298"/>
      <c r="HQ35" s="298"/>
      <c r="HR35" s="298"/>
      <c r="HS35" s="298"/>
      <c r="HT35" s="298"/>
      <c r="HU35" s="298"/>
      <c r="HV35" s="298"/>
      <c r="HW35" s="298"/>
      <c r="HX35" s="298"/>
      <c r="HY35" s="298"/>
      <c r="HZ35" s="298"/>
      <c r="IA35" s="298"/>
    </row>
    <row r="36" spans="1:235" s="303" customFormat="1">
      <c r="A36" s="298"/>
      <c r="B36" s="299"/>
      <c r="C36" s="299"/>
      <c r="D36" s="299"/>
      <c r="E36" s="300"/>
      <c r="F36" s="300"/>
      <c r="G36" s="300"/>
      <c r="H36" s="301"/>
      <c r="I36" s="302"/>
      <c r="J36" s="300"/>
      <c r="K36" s="301"/>
      <c r="L36" s="302"/>
      <c r="M36" s="300"/>
      <c r="N36" s="301"/>
      <c r="O36" s="300"/>
      <c r="Q36" s="298"/>
      <c r="R36" s="298"/>
      <c r="S36" s="298"/>
      <c r="T36" s="298"/>
      <c r="U36" s="349"/>
      <c r="V36" s="349"/>
      <c r="W36" s="349"/>
      <c r="X36" s="349"/>
      <c r="Y36" s="349"/>
      <c r="Z36" s="348"/>
      <c r="AA36" s="348"/>
      <c r="AB36" s="348"/>
      <c r="AC36" s="349"/>
      <c r="AD36" s="349"/>
      <c r="AE36" s="349"/>
      <c r="AF36" s="298"/>
      <c r="AG36" s="298"/>
      <c r="AH36" s="298"/>
      <c r="AI36" s="298"/>
      <c r="AJ36" s="298"/>
      <c r="AK36" s="298"/>
      <c r="AL36" s="298"/>
      <c r="AM36" s="298"/>
      <c r="AN36" s="298"/>
      <c r="AO36" s="298"/>
      <c r="AP36" s="298"/>
      <c r="AQ36" s="298"/>
      <c r="AR36" s="298"/>
      <c r="AS36" s="298"/>
      <c r="AT36" s="298"/>
      <c r="AU36" s="298"/>
      <c r="AV36" s="298"/>
      <c r="AW36" s="298"/>
      <c r="AX36" s="298"/>
      <c r="AY36" s="298"/>
      <c r="AZ36" s="298"/>
      <c r="BA36" s="298"/>
      <c r="BB36" s="298"/>
      <c r="BC36" s="298"/>
      <c r="BD36" s="298"/>
      <c r="BE36" s="298"/>
      <c r="BF36" s="298"/>
      <c r="BG36" s="298"/>
      <c r="BH36" s="298"/>
      <c r="BI36" s="298"/>
      <c r="BJ36" s="298"/>
      <c r="BK36" s="298"/>
      <c r="BL36" s="298"/>
      <c r="BM36" s="298"/>
      <c r="BN36" s="298"/>
      <c r="BO36" s="298"/>
      <c r="BP36" s="298"/>
      <c r="BQ36" s="298"/>
      <c r="BR36" s="298"/>
      <c r="BS36" s="298"/>
      <c r="BT36" s="298"/>
      <c r="BU36" s="298"/>
      <c r="BV36" s="298"/>
      <c r="BW36" s="298"/>
      <c r="BX36" s="298"/>
      <c r="BY36" s="298"/>
      <c r="BZ36" s="298"/>
      <c r="CA36" s="298"/>
      <c r="CB36" s="298"/>
      <c r="CC36" s="298"/>
      <c r="CD36" s="298"/>
      <c r="CE36" s="298"/>
      <c r="CF36" s="298"/>
      <c r="CG36" s="298"/>
      <c r="CH36" s="298"/>
      <c r="CI36" s="298"/>
      <c r="CJ36" s="298"/>
      <c r="CK36" s="298"/>
      <c r="CL36" s="298"/>
      <c r="CM36" s="298"/>
      <c r="CN36" s="298"/>
      <c r="CO36" s="298"/>
      <c r="CP36" s="298"/>
      <c r="CQ36" s="298"/>
      <c r="CR36" s="298"/>
      <c r="CS36" s="298"/>
      <c r="CT36" s="298"/>
      <c r="CU36" s="298"/>
      <c r="CV36" s="298"/>
      <c r="CW36" s="298"/>
      <c r="CX36" s="298"/>
      <c r="CY36" s="298"/>
      <c r="CZ36" s="298"/>
      <c r="DA36" s="298"/>
      <c r="DB36" s="298"/>
      <c r="DC36" s="298"/>
      <c r="DD36" s="298"/>
      <c r="DE36" s="298"/>
      <c r="DF36" s="298"/>
      <c r="DG36" s="298"/>
      <c r="DH36" s="298"/>
      <c r="DI36" s="298"/>
      <c r="DJ36" s="298"/>
      <c r="DK36" s="298"/>
      <c r="DL36" s="298"/>
      <c r="DM36" s="298"/>
      <c r="DN36" s="298"/>
      <c r="DO36" s="298"/>
      <c r="DP36" s="298"/>
      <c r="DQ36" s="298"/>
      <c r="DR36" s="298"/>
      <c r="DS36" s="298"/>
      <c r="DT36" s="298"/>
      <c r="DU36" s="298"/>
      <c r="DV36" s="298"/>
      <c r="DW36" s="298"/>
      <c r="DX36" s="298"/>
      <c r="DY36" s="298"/>
      <c r="DZ36" s="298"/>
      <c r="EA36" s="298"/>
      <c r="EB36" s="298"/>
      <c r="EC36" s="298"/>
      <c r="ED36" s="298"/>
      <c r="EE36" s="298"/>
      <c r="EF36" s="298"/>
      <c r="EG36" s="298"/>
      <c r="EH36" s="298"/>
      <c r="EI36" s="298"/>
      <c r="EJ36" s="298"/>
      <c r="EK36" s="298"/>
      <c r="EL36" s="298"/>
      <c r="EM36" s="298"/>
      <c r="EN36" s="298"/>
      <c r="EO36" s="298"/>
      <c r="EP36" s="298"/>
      <c r="EQ36" s="298"/>
      <c r="ER36" s="298"/>
      <c r="ES36" s="298"/>
      <c r="ET36" s="298"/>
      <c r="EU36" s="298"/>
      <c r="EV36" s="298"/>
      <c r="EW36" s="298"/>
      <c r="EX36" s="298"/>
      <c r="EY36" s="298"/>
      <c r="EZ36" s="298"/>
      <c r="FA36" s="298"/>
      <c r="FB36" s="298"/>
      <c r="FC36" s="298"/>
      <c r="FD36" s="298"/>
      <c r="FE36" s="298"/>
      <c r="FF36" s="298"/>
      <c r="FG36" s="298"/>
      <c r="FH36" s="298"/>
      <c r="FI36" s="298"/>
      <c r="FJ36" s="298"/>
      <c r="FK36" s="298"/>
      <c r="FL36" s="298"/>
      <c r="FM36" s="298"/>
      <c r="FN36" s="298"/>
      <c r="FO36" s="298"/>
      <c r="FP36" s="298"/>
      <c r="FQ36" s="298"/>
      <c r="FR36" s="298"/>
      <c r="FS36" s="298"/>
      <c r="FT36" s="298"/>
      <c r="FU36" s="298"/>
      <c r="FV36" s="298"/>
      <c r="FW36" s="298"/>
      <c r="FX36" s="298"/>
      <c r="FY36" s="298"/>
      <c r="FZ36" s="298"/>
      <c r="GA36" s="298"/>
      <c r="GB36" s="298"/>
      <c r="GC36" s="298"/>
      <c r="GD36" s="298"/>
      <c r="GE36" s="298"/>
      <c r="GF36" s="298"/>
      <c r="GG36" s="298"/>
      <c r="GH36" s="298"/>
      <c r="GI36" s="298"/>
      <c r="GJ36" s="298"/>
      <c r="GK36" s="298"/>
      <c r="GL36" s="298"/>
      <c r="GM36" s="298"/>
      <c r="GN36" s="298"/>
      <c r="GO36" s="298"/>
      <c r="GP36" s="298"/>
      <c r="GQ36" s="298"/>
      <c r="GR36" s="298"/>
      <c r="GS36" s="298"/>
      <c r="GT36" s="298"/>
      <c r="GU36" s="298"/>
      <c r="GV36" s="298"/>
      <c r="GW36" s="298"/>
      <c r="GX36" s="298"/>
      <c r="GY36" s="298"/>
      <c r="GZ36" s="298"/>
      <c r="HA36" s="298"/>
      <c r="HB36" s="298"/>
      <c r="HC36" s="298"/>
      <c r="HD36" s="298"/>
      <c r="HE36" s="298"/>
      <c r="HF36" s="298"/>
      <c r="HG36" s="298"/>
      <c r="HH36" s="298"/>
      <c r="HI36" s="298"/>
      <c r="HJ36" s="298"/>
      <c r="HK36" s="298"/>
      <c r="HL36" s="298"/>
      <c r="HM36" s="298"/>
      <c r="HN36" s="298"/>
      <c r="HO36" s="298"/>
      <c r="HP36" s="298"/>
      <c r="HQ36" s="298"/>
      <c r="HR36" s="298"/>
      <c r="HS36" s="298"/>
      <c r="HT36" s="298"/>
      <c r="HU36" s="298"/>
      <c r="HV36" s="298"/>
      <c r="HW36" s="298"/>
      <c r="HX36" s="298"/>
      <c r="HY36" s="298"/>
      <c r="HZ36" s="298"/>
      <c r="IA36" s="298"/>
    </row>
    <row r="37" spans="1:235" s="303" customFormat="1">
      <c r="A37" s="298"/>
      <c r="B37" s="299"/>
      <c r="C37" s="299"/>
      <c r="D37" s="299"/>
      <c r="E37" s="300"/>
      <c r="F37" s="300"/>
      <c r="G37" s="300"/>
      <c r="H37" s="301"/>
      <c r="I37" s="302"/>
      <c r="J37" s="300"/>
      <c r="K37" s="301"/>
      <c r="L37" s="302"/>
      <c r="M37" s="300"/>
      <c r="N37" s="301"/>
      <c r="O37" s="300"/>
      <c r="Q37" s="298"/>
      <c r="R37" s="298"/>
      <c r="S37" s="298"/>
      <c r="T37" s="298"/>
      <c r="U37" s="349"/>
      <c r="V37" s="349"/>
      <c r="W37" s="349"/>
      <c r="X37" s="349"/>
      <c r="Y37" s="349"/>
      <c r="Z37" s="348"/>
      <c r="AA37" s="348"/>
      <c r="AB37" s="348"/>
      <c r="AC37" s="349"/>
      <c r="AD37" s="349"/>
      <c r="AE37" s="349"/>
      <c r="AF37" s="298"/>
      <c r="AG37" s="298"/>
      <c r="AH37" s="298"/>
      <c r="AI37" s="298"/>
      <c r="AJ37" s="298"/>
      <c r="AK37" s="298"/>
      <c r="AL37" s="298"/>
      <c r="AM37" s="298"/>
      <c r="AN37" s="298"/>
      <c r="AO37" s="298"/>
      <c r="AP37" s="298"/>
      <c r="AQ37" s="298"/>
      <c r="AR37" s="298"/>
      <c r="AS37" s="298"/>
      <c r="AT37" s="298"/>
      <c r="AU37" s="298"/>
      <c r="AV37" s="298"/>
      <c r="AW37" s="298"/>
      <c r="AX37" s="298"/>
      <c r="AY37" s="298"/>
      <c r="AZ37" s="298"/>
      <c r="BA37" s="298"/>
      <c r="BB37" s="298"/>
      <c r="BC37" s="298"/>
      <c r="BD37" s="298"/>
      <c r="BE37" s="298"/>
      <c r="BF37" s="298"/>
      <c r="BG37" s="298"/>
      <c r="BH37" s="298"/>
      <c r="BI37" s="298"/>
      <c r="BJ37" s="298"/>
      <c r="BK37" s="298"/>
      <c r="BL37" s="298"/>
      <c r="BM37" s="298"/>
      <c r="BN37" s="298"/>
      <c r="BO37" s="298"/>
      <c r="BP37" s="298"/>
      <c r="BQ37" s="298"/>
      <c r="BR37" s="298"/>
      <c r="BS37" s="298"/>
      <c r="BT37" s="298"/>
      <c r="BU37" s="298"/>
      <c r="BV37" s="298"/>
      <c r="BW37" s="298"/>
      <c r="BX37" s="298"/>
      <c r="BY37" s="298"/>
      <c r="BZ37" s="298"/>
      <c r="CA37" s="298"/>
      <c r="CB37" s="298"/>
      <c r="CC37" s="298"/>
      <c r="CD37" s="298"/>
      <c r="CE37" s="298"/>
      <c r="CF37" s="298"/>
      <c r="CG37" s="298"/>
      <c r="CH37" s="298"/>
      <c r="CI37" s="298"/>
      <c r="CJ37" s="298"/>
      <c r="CK37" s="298"/>
      <c r="CL37" s="298"/>
      <c r="CM37" s="298"/>
      <c r="CN37" s="298"/>
      <c r="CO37" s="298"/>
      <c r="CP37" s="298"/>
      <c r="CQ37" s="298"/>
      <c r="CR37" s="298"/>
      <c r="CS37" s="298"/>
      <c r="CT37" s="298"/>
      <c r="CU37" s="298"/>
      <c r="CV37" s="298"/>
      <c r="CW37" s="298"/>
      <c r="CX37" s="298"/>
      <c r="CY37" s="298"/>
      <c r="CZ37" s="298"/>
      <c r="DA37" s="298"/>
      <c r="DB37" s="298"/>
      <c r="DC37" s="298"/>
      <c r="DD37" s="298"/>
      <c r="DE37" s="298"/>
      <c r="DF37" s="298"/>
      <c r="DG37" s="298"/>
      <c r="DH37" s="298"/>
      <c r="DI37" s="298"/>
      <c r="DJ37" s="298"/>
      <c r="DK37" s="298"/>
      <c r="DL37" s="298"/>
      <c r="DM37" s="298"/>
      <c r="DN37" s="298"/>
      <c r="DO37" s="298"/>
      <c r="DP37" s="298"/>
      <c r="DQ37" s="298"/>
      <c r="DR37" s="298"/>
      <c r="DS37" s="298"/>
      <c r="DT37" s="298"/>
      <c r="DU37" s="298"/>
      <c r="DV37" s="298"/>
      <c r="DW37" s="298"/>
      <c r="DX37" s="298"/>
      <c r="DY37" s="298"/>
      <c r="DZ37" s="298"/>
      <c r="EA37" s="298"/>
      <c r="EB37" s="298"/>
      <c r="EC37" s="298"/>
      <c r="ED37" s="298"/>
      <c r="EE37" s="298"/>
      <c r="EF37" s="298"/>
      <c r="EG37" s="298"/>
      <c r="EH37" s="298"/>
      <c r="EI37" s="298"/>
      <c r="EJ37" s="298"/>
      <c r="EK37" s="298"/>
      <c r="EL37" s="298"/>
      <c r="EM37" s="298"/>
      <c r="EN37" s="298"/>
      <c r="EO37" s="298"/>
      <c r="EP37" s="298"/>
      <c r="EQ37" s="298"/>
      <c r="ER37" s="298"/>
      <c r="ES37" s="298"/>
      <c r="ET37" s="298"/>
      <c r="EU37" s="298"/>
      <c r="EV37" s="298"/>
      <c r="EW37" s="298"/>
      <c r="EX37" s="298"/>
      <c r="EY37" s="298"/>
      <c r="EZ37" s="298"/>
      <c r="FA37" s="298"/>
      <c r="FB37" s="298"/>
      <c r="FC37" s="298"/>
      <c r="FD37" s="298"/>
      <c r="FE37" s="298"/>
      <c r="FF37" s="298"/>
      <c r="FG37" s="298"/>
      <c r="FH37" s="298"/>
      <c r="FI37" s="298"/>
      <c r="FJ37" s="298"/>
      <c r="FK37" s="298"/>
      <c r="FL37" s="298"/>
      <c r="FM37" s="298"/>
      <c r="FN37" s="298"/>
      <c r="FO37" s="298"/>
      <c r="FP37" s="298"/>
      <c r="FQ37" s="298"/>
      <c r="FR37" s="298"/>
      <c r="FS37" s="298"/>
      <c r="FT37" s="298"/>
      <c r="FU37" s="298"/>
      <c r="FV37" s="298"/>
      <c r="FW37" s="298"/>
      <c r="FX37" s="298"/>
      <c r="FY37" s="298"/>
      <c r="FZ37" s="298"/>
      <c r="GA37" s="298"/>
      <c r="GB37" s="298"/>
      <c r="GC37" s="298"/>
      <c r="GD37" s="298"/>
      <c r="GE37" s="298"/>
      <c r="GF37" s="298"/>
      <c r="GG37" s="298"/>
      <c r="GH37" s="298"/>
      <c r="GI37" s="298"/>
      <c r="GJ37" s="298"/>
      <c r="GK37" s="298"/>
      <c r="GL37" s="298"/>
      <c r="GM37" s="298"/>
      <c r="GN37" s="298"/>
      <c r="GO37" s="298"/>
      <c r="GP37" s="298"/>
      <c r="GQ37" s="298"/>
      <c r="GR37" s="298"/>
      <c r="GS37" s="298"/>
      <c r="GT37" s="298"/>
      <c r="GU37" s="298"/>
      <c r="GV37" s="298"/>
      <c r="GW37" s="298"/>
      <c r="GX37" s="298"/>
      <c r="GY37" s="298"/>
      <c r="GZ37" s="298"/>
      <c r="HA37" s="298"/>
      <c r="HB37" s="298"/>
      <c r="HC37" s="298"/>
      <c r="HD37" s="298"/>
      <c r="HE37" s="298"/>
      <c r="HF37" s="298"/>
      <c r="HG37" s="298"/>
      <c r="HH37" s="298"/>
      <c r="HI37" s="298"/>
      <c r="HJ37" s="298"/>
      <c r="HK37" s="298"/>
      <c r="HL37" s="298"/>
      <c r="HM37" s="298"/>
      <c r="HN37" s="298"/>
      <c r="HO37" s="298"/>
      <c r="HP37" s="298"/>
      <c r="HQ37" s="298"/>
      <c r="HR37" s="298"/>
      <c r="HS37" s="298"/>
      <c r="HT37" s="298"/>
      <c r="HU37" s="298"/>
      <c r="HV37" s="298"/>
      <c r="HW37" s="298"/>
      <c r="HX37" s="298"/>
      <c r="HY37" s="298"/>
      <c r="HZ37" s="298"/>
      <c r="IA37" s="298"/>
    </row>
    <row r="38" spans="1:235" s="303" customFormat="1">
      <c r="A38" s="298"/>
      <c r="B38" s="299"/>
      <c r="C38" s="299"/>
      <c r="D38" s="299"/>
      <c r="E38" s="300"/>
      <c r="F38" s="300"/>
      <c r="G38" s="300"/>
      <c r="H38" s="301"/>
      <c r="I38" s="302"/>
      <c r="J38" s="300"/>
      <c r="K38" s="301"/>
      <c r="L38" s="302"/>
      <c r="M38" s="300"/>
      <c r="N38" s="301"/>
      <c r="O38" s="300"/>
      <c r="Q38" s="298"/>
      <c r="R38" s="298"/>
      <c r="S38" s="298"/>
      <c r="T38" s="298"/>
      <c r="U38" s="349"/>
      <c r="V38" s="349"/>
      <c r="W38" s="349"/>
      <c r="X38" s="349"/>
      <c r="Y38" s="349"/>
      <c r="Z38" s="348"/>
      <c r="AA38" s="348"/>
      <c r="AB38" s="348"/>
      <c r="AC38" s="349"/>
      <c r="AD38" s="349"/>
      <c r="AE38" s="349"/>
      <c r="AF38" s="298"/>
      <c r="AG38" s="298"/>
      <c r="AH38" s="298"/>
      <c r="AI38" s="298"/>
      <c r="AJ38" s="298"/>
      <c r="AK38" s="298"/>
      <c r="AL38" s="298"/>
      <c r="AM38" s="298"/>
      <c r="AN38" s="298"/>
      <c r="AO38" s="298"/>
      <c r="AP38" s="298"/>
      <c r="AQ38" s="298"/>
      <c r="AR38" s="298"/>
      <c r="AS38" s="298"/>
      <c r="AT38" s="298"/>
      <c r="AU38" s="298"/>
      <c r="AV38" s="298"/>
      <c r="AW38" s="298"/>
      <c r="AX38" s="298"/>
      <c r="AY38" s="298"/>
      <c r="AZ38" s="298"/>
      <c r="BA38" s="298"/>
      <c r="BB38" s="298"/>
      <c r="BC38" s="298"/>
      <c r="BD38" s="298"/>
      <c r="BE38" s="298"/>
      <c r="BF38" s="298"/>
      <c r="BG38" s="298"/>
      <c r="BH38" s="298"/>
      <c r="BI38" s="298"/>
      <c r="BJ38" s="298"/>
      <c r="BK38" s="298"/>
      <c r="BL38" s="298"/>
      <c r="BM38" s="298"/>
      <c r="BN38" s="298"/>
      <c r="BO38" s="298"/>
      <c r="BP38" s="298"/>
      <c r="BQ38" s="298"/>
      <c r="BR38" s="298"/>
      <c r="BS38" s="298"/>
      <c r="BT38" s="298"/>
      <c r="BU38" s="298"/>
      <c r="BV38" s="298"/>
      <c r="BW38" s="298"/>
      <c r="BX38" s="298"/>
      <c r="BY38" s="298"/>
      <c r="BZ38" s="298"/>
      <c r="CA38" s="298"/>
      <c r="CB38" s="298"/>
      <c r="CC38" s="298"/>
      <c r="CD38" s="298"/>
      <c r="CE38" s="298"/>
      <c r="CF38" s="298"/>
      <c r="CG38" s="298"/>
      <c r="CH38" s="298"/>
      <c r="CI38" s="298"/>
      <c r="CJ38" s="298"/>
      <c r="CK38" s="298"/>
      <c r="CL38" s="298"/>
      <c r="CM38" s="298"/>
      <c r="CN38" s="298"/>
      <c r="CO38" s="298"/>
      <c r="CP38" s="298"/>
      <c r="CQ38" s="298"/>
      <c r="CR38" s="298"/>
      <c r="CS38" s="298"/>
      <c r="CT38" s="298"/>
      <c r="CU38" s="298"/>
      <c r="CV38" s="298"/>
      <c r="CW38" s="298"/>
      <c r="CX38" s="298"/>
      <c r="CY38" s="298"/>
      <c r="CZ38" s="298"/>
      <c r="DA38" s="298"/>
      <c r="DB38" s="298"/>
      <c r="DC38" s="298"/>
      <c r="DD38" s="298"/>
      <c r="DE38" s="298"/>
      <c r="DF38" s="298"/>
      <c r="DG38" s="298"/>
      <c r="DH38" s="298"/>
      <c r="DI38" s="298"/>
      <c r="DJ38" s="298"/>
      <c r="DK38" s="298"/>
      <c r="DL38" s="298"/>
      <c r="DM38" s="298"/>
      <c r="DN38" s="298"/>
      <c r="DO38" s="298"/>
      <c r="DP38" s="298"/>
      <c r="DQ38" s="298"/>
      <c r="DR38" s="298"/>
      <c r="DS38" s="298"/>
      <c r="DT38" s="298"/>
      <c r="DU38" s="298"/>
      <c r="DV38" s="298"/>
      <c r="DW38" s="298"/>
      <c r="DX38" s="298"/>
      <c r="DY38" s="298"/>
      <c r="DZ38" s="298"/>
      <c r="EA38" s="298"/>
      <c r="EB38" s="298"/>
      <c r="EC38" s="298"/>
      <c r="ED38" s="298"/>
      <c r="EE38" s="298"/>
      <c r="EF38" s="298"/>
      <c r="EG38" s="298"/>
      <c r="EH38" s="298"/>
      <c r="EI38" s="298"/>
      <c r="EJ38" s="298"/>
      <c r="EK38" s="298"/>
      <c r="EL38" s="298"/>
      <c r="EM38" s="298"/>
      <c r="EN38" s="298"/>
      <c r="EO38" s="298"/>
      <c r="EP38" s="298"/>
      <c r="EQ38" s="298"/>
      <c r="ER38" s="298"/>
      <c r="ES38" s="298"/>
      <c r="ET38" s="298"/>
      <c r="EU38" s="298"/>
      <c r="EV38" s="298"/>
      <c r="EW38" s="298"/>
      <c r="EX38" s="298"/>
      <c r="EY38" s="298"/>
      <c r="EZ38" s="298"/>
      <c r="FA38" s="298"/>
      <c r="FB38" s="298"/>
      <c r="FC38" s="298"/>
      <c r="FD38" s="298"/>
      <c r="FE38" s="298"/>
      <c r="FF38" s="298"/>
      <c r="FG38" s="298"/>
      <c r="FH38" s="298"/>
      <c r="FI38" s="298"/>
      <c r="FJ38" s="298"/>
      <c r="FK38" s="298"/>
      <c r="FL38" s="298"/>
      <c r="FM38" s="298"/>
      <c r="FN38" s="298"/>
      <c r="FO38" s="298"/>
      <c r="FP38" s="298"/>
      <c r="FQ38" s="298"/>
      <c r="FR38" s="298"/>
      <c r="FS38" s="298"/>
      <c r="FT38" s="298"/>
      <c r="FU38" s="298"/>
      <c r="FV38" s="298"/>
      <c r="FW38" s="298"/>
      <c r="FX38" s="298"/>
      <c r="FY38" s="298"/>
      <c r="FZ38" s="298"/>
      <c r="GA38" s="298"/>
      <c r="GB38" s="298"/>
      <c r="GC38" s="298"/>
      <c r="GD38" s="298"/>
      <c r="GE38" s="298"/>
      <c r="GF38" s="298"/>
      <c r="GG38" s="298"/>
      <c r="GH38" s="298"/>
      <c r="GI38" s="298"/>
      <c r="GJ38" s="298"/>
      <c r="GK38" s="298"/>
      <c r="GL38" s="298"/>
      <c r="GM38" s="298"/>
      <c r="GN38" s="298"/>
      <c r="GO38" s="298"/>
      <c r="GP38" s="298"/>
      <c r="GQ38" s="298"/>
      <c r="GR38" s="298"/>
      <c r="GS38" s="298"/>
      <c r="GT38" s="298"/>
      <c r="GU38" s="298"/>
      <c r="GV38" s="298"/>
      <c r="GW38" s="298"/>
      <c r="GX38" s="298"/>
      <c r="GY38" s="298"/>
      <c r="GZ38" s="298"/>
      <c r="HA38" s="298"/>
      <c r="HB38" s="298"/>
      <c r="HC38" s="298"/>
      <c r="HD38" s="298"/>
      <c r="HE38" s="298"/>
      <c r="HF38" s="298"/>
      <c r="HG38" s="298"/>
      <c r="HH38" s="298"/>
      <c r="HI38" s="298"/>
      <c r="HJ38" s="298"/>
      <c r="HK38" s="298"/>
      <c r="HL38" s="298"/>
      <c r="HM38" s="298"/>
      <c r="HN38" s="298"/>
      <c r="HO38" s="298"/>
      <c r="HP38" s="298"/>
      <c r="HQ38" s="298"/>
      <c r="HR38" s="298"/>
      <c r="HS38" s="298"/>
      <c r="HT38" s="298"/>
      <c r="HU38" s="298"/>
      <c r="HV38" s="298"/>
      <c r="HW38" s="298"/>
      <c r="HX38" s="298"/>
      <c r="HY38" s="298"/>
      <c r="HZ38" s="298"/>
      <c r="IA38" s="298"/>
    </row>
    <row r="39" spans="1:235" s="303" customFormat="1">
      <c r="A39" s="298"/>
      <c r="B39" s="299"/>
      <c r="C39" s="299"/>
      <c r="D39" s="299"/>
      <c r="E39" s="300"/>
      <c r="F39" s="300"/>
      <c r="G39" s="300"/>
      <c r="H39" s="301"/>
      <c r="I39" s="302"/>
      <c r="J39" s="300"/>
      <c r="K39" s="301"/>
      <c r="L39" s="302"/>
      <c r="M39" s="300"/>
      <c r="N39" s="301"/>
      <c r="O39" s="300"/>
      <c r="Q39" s="298"/>
      <c r="R39" s="298"/>
      <c r="S39" s="298"/>
      <c r="T39" s="298"/>
      <c r="U39" s="349"/>
      <c r="V39" s="349"/>
      <c r="W39" s="349"/>
      <c r="X39" s="349"/>
      <c r="Y39" s="349"/>
      <c r="Z39" s="348"/>
      <c r="AA39" s="348"/>
      <c r="AB39" s="348"/>
      <c r="AC39" s="349"/>
      <c r="AD39" s="349"/>
      <c r="AE39" s="349"/>
      <c r="AF39" s="298"/>
      <c r="AG39" s="298"/>
      <c r="AH39" s="298"/>
      <c r="AI39" s="298"/>
      <c r="AJ39" s="298"/>
      <c r="AK39" s="298"/>
      <c r="AL39" s="298"/>
      <c r="AM39" s="298"/>
      <c r="AN39" s="298"/>
      <c r="AO39" s="298"/>
      <c r="AP39" s="298"/>
      <c r="AQ39" s="298"/>
      <c r="AR39" s="298"/>
      <c r="AS39" s="298"/>
      <c r="AT39" s="298"/>
      <c r="AU39" s="298"/>
      <c r="AV39" s="298"/>
      <c r="AW39" s="298"/>
      <c r="AX39" s="298"/>
      <c r="AY39" s="298"/>
      <c r="AZ39" s="298"/>
      <c r="BA39" s="298"/>
      <c r="BB39" s="298"/>
      <c r="BC39" s="298"/>
      <c r="BD39" s="298"/>
      <c r="BE39" s="298"/>
      <c r="BF39" s="298"/>
      <c r="BG39" s="298"/>
      <c r="BH39" s="298"/>
      <c r="BI39" s="298"/>
      <c r="BJ39" s="298"/>
      <c r="BK39" s="298"/>
      <c r="BL39" s="298"/>
      <c r="BM39" s="298"/>
      <c r="BN39" s="298"/>
      <c r="BO39" s="298"/>
      <c r="BP39" s="298"/>
      <c r="BQ39" s="298"/>
      <c r="BR39" s="298"/>
      <c r="BS39" s="298"/>
      <c r="BT39" s="298"/>
      <c r="BU39" s="298"/>
      <c r="BV39" s="298"/>
      <c r="BW39" s="298"/>
      <c r="BX39" s="298"/>
      <c r="BY39" s="298"/>
      <c r="BZ39" s="298"/>
      <c r="CA39" s="298"/>
      <c r="CB39" s="298"/>
      <c r="CC39" s="298"/>
      <c r="CD39" s="298"/>
      <c r="CE39" s="298"/>
      <c r="CF39" s="298"/>
      <c r="CG39" s="298"/>
      <c r="CH39" s="298"/>
      <c r="CI39" s="298"/>
      <c r="CJ39" s="298"/>
      <c r="CK39" s="298"/>
      <c r="CL39" s="298"/>
      <c r="CM39" s="298"/>
      <c r="CN39" s="298"/>
      <c r="CO39" s="298"/>
      <c r="CP39" s="298"/>
      <c r="CQ39" s="298"/>
      <c r="CR39" s="298"/>
      <c r="CS39" s="298"/>
      <c r="CT39" s="298"/>
      <c r="CU39" s="298"/>
      <c r="CV39" s="298"/>
      <c r="CW39" s="298"/>
      <c r="CX39" s="298"/>
      <c r="CY39" s="298"/>
      <c r="CZ39" s="298"/>
      <c r="DA39" s="298"/>
      <c r="DB39" s="298"/>
      <c r="DC39" s="298"/>
      <c r="DD39" s="298"/>
      <c r="DE39" s="298"/>
      <c r="DF39" s="298"/>
      <c r="DG39" s="298"/>
      <c r="DH39" s="298"/>
      <c r="DI39" s="298"/>
      <c r="DJ39" s="298"/>
      <c r="DK39" s="298"/>
      <c r="DL39" s="298"/>
      <c r="DM39" s="298"/>
      <c r="DN39" s="298"/>
      <c r="DO39" s="298"/>
      <c r="DP39" s="298"/>
      <c r="DQ39" s="298"/>
      <c r="DR39" s="298"/>
      <c r="DS39" s="298"/>
      <c r="DT39" s="298"/>
      <c r="DU39" s="298"/>
      <c r="DV39" s="298"/>
      <c r="DW39" s="298"/>
      <c r="DX39" s="298"/>
      <c r="DY39" s="298"/>
      <c r="DZ39" s="298"/>
      <c r="EA39" s="298"/>
      <c r="EB39" s="298"/>
      <c r="EC39" s="298"/>
      <c r="ED39" s="298"/>
      <c r="EE39" s="298"/>
      <c r="EF39" s="298"/>
      <c r="EG39" s="298"/>
      <c r="EH39" s="298"/>
      <c r="EI39" s="298"/>
      <c r="EJ39" s="298"/>
      <c r="EK39" s="298"/>
      <c r="EL39" s="298"/>
      <c r="EM39" s="298"/>
      <c r="EN39" s="298"/>
      <c r="EO39" s="298"/>
      <c r="EP39" s="298"/>
      <c r="EQ39" s="298"/>
      <c r="ER39" s="298"/>
      <c r="ES39" s="298"/>
      <c r="ET39" s="298"/>
      <c r="EU39" s="298"/>
      <c r="EV39" s="298"/>
      <c r="EW39" s="298"/>
      <c r="EX39" s="298"/>
      <c r="EY39" s="298"/>
      <c r="EZ39" s="298"/>
      <c r="FA39" s="298"/>
      <c r="FB39" s="298"/>
      <c r="FC39" s="298"/>
      <c r="FD39" s="298"/>
      <c r="FE39" s="298"/>
      <c r="FF39" s="298"/>
      <c r="FG39" s="298"/>
      <c r="FH39" s="298"/>
      <c r="FI39" s="298"/>
      <c r="FJ39" s="298"/>
      <c r="FK39" s="298"/>
      <c r="FL39" s="298"/>
      <c r="FM39" s="298"/>
      <c r="FN39" s="298"/>
      <c r="FO39" s="298"/>
      <c r="FP39" s="298"/>
      <c r="FQ39" s="298"/>
      <c r="FR39" s="298"/>
      <c r="FS39" s="298"/>
      <c r="FT39" s="298"/>
      <c r="FU39" s="298"/>
      <c r="FV39" s="298"/>
      <c r="FW39" s="298"/>
      <c r="FX39" s="298"/>
      <c r="FY39" s="298"/>
      <c r="FZ39" s="298"/>
      <c r="GA39" s="298"/>
      <c r="GB39" s="298"/>
      <c r="GC39" s="298"/>
      <c r="GD39" s="298"/>
      <c r="GE39" s="298"/>
      <c r="GF39" s="298"/>
      <c r="GG39" s="298"/>
      <c r="GH39" s="298"/>
      <c r="GI39" s="298"/>
      <c r="GJ39" s="298"/>
      <c r="GK39" s="298"/>
      <c r="GL39" s="298"/>
      <c r="GM39" s="298"/>
      <c r="GN39" s="298"/>
      <c r="GO39" s="298"/>
      <c r="GP39" s="298"/>
      <c r="GQ39" s="298"/>
      <c r="GR39" s="298"/>
      <c r="GS39" s="298"/>
      <c r="GT39" s="298"/>
      <c r="GU39" s="298"/>
      <c r="GV39" s="298"/>
      <c r="GW39" s="298"/>
      <c r="GX39" s="298"/>
      <c r="GY39" s="298"/>
      <c r="GZ39" s="298"/>
      <c r="HA39" s="298"/>
      <c r="HB39" s="298"/>
      <c r="HC39" s="298"/>
      <c r="HD39" s="298"/>
      <c r="HE39" s="298"/>
      <c r="HF39" s="298"/>
      <c r="HG39" s="298"/>
      <c r="HH39" s="298"/>
      <c r="HI39" s="298"/>
      <c r="HJ39" s="298"/>
      <c r="HK39" s="298"/>
      <c r="HL39" s="298"/>
      <c r="HM39" s="298"/>
      <c r="HN39" s="298"/>
      <c r="HO39" s="298"/>
      <c r="HP39" s="298"/>
      <c r="HQ39" s="298"/>
      <c r="HR39" s="298"/>
      <c r="HS39" s="298"/>
      <c r="HT39" s="298"/>
      <c r="HU39" s="298"/>
      <c r="HV39" s="298"/>
      <c r="HW39" s="298"/>
      <c r="HX39" s="298"/>
      <c r="HY39" s="298"/>
      <c r="HZ39" s="298"/>
      <c r="IA39" s="298"/>
    </row>
    <row r="40" spans="1:235" s="303" customFormat="1">
      <c r="A40" s="298"/>
      <c r="B40" s="299"/>
      <c r="C40" s="299"/>
      <c r="D40" s="299"/>
      <c r="E40" s="300"/>
      <c r="F40" s="300"/>
      <c r="G40" s="300"/>
      <c r="H40" s="301"/>
      <c r="I40" s="302"/>
      <c r="J40" s="300"/>
      <c r="K40" s="301"/>
      <c r="L40" s="302"/>
      <c r="M40" s="300"/>
      <c r="N40" s="301"/>
      <c r="O40" s="300"/>
      <c r="Q40" s="298"/>
      <c r="R40" s="298"/>
      <c r="S40" s="298"/>
      <c r="T40" s="298"/>
      <c r="U40" s="349"/>
      <c r="V40" s="349"/>
      <c r="W40" s="349"/>
      <c r="X40" s="349"/>
      <c r="Y40" s="349"/>
      <c r="Z40" s="348"/>
      <c r="AA40" s="348"/>
      <c r="AB40" s="348"/>
      <c r="AC40" s="349"/>
      <c r="AD40" s="349"/>
      <c r="AE40" s="349"/>
      <c r="AF40" s="298"/>
      <c r="AG40" s="298"/>
      <c r="AH40" s="298"/>
      <c r="AI40" s="298"/>
      <c r="AJ40" s="298"/>
      <c r="AK40" s="298"/>
      <c r="AL40" s="298"/>
      <c r="AM40" s="298"/>
      <c r="AN40" s="298"/>
      <c r="AO40" s="298"/>
      <c r="AP40" s="298"/>
      <c r="AQ40" s="298"/>
      <c r="AR40" s="298"/>
      <c r="AS40" s="298"/>
      <c r="AT40" s="298"/>
      <c r="AU40" s="298"/>
      <c r="AV40" s="298"/>
      <c r="AW40" s="298"/>
      <c r="AX40" s="298"/>
      <c r="AY40" s="298"/>
      <c r="AZ40" s="298"/>
      <c r="BA40" s="298"/>
      <c r="BB40" s="298"/>
      <c r="BC40" s="298"/>
      <c r="BD40" s="298"/>
      <c r="BE40" s="298"/>
      <c r="BF40" s="298"/>
      <c r="BG40" s="298"/>
      <c r="BH40" s="298"/>
      <c r="BI40" s="298"/>
      <c r="BJ40" s="298"/>
      <c r="BK40" s="298"/>
      <c r="BL40" s="298"/>
      <c r="BM40" s="298"/>
      <c r="BN40" s="298"/>
      <c r="BO40" s="298"/>
      <c r="BP40" s="298"/>
      <c r="BQ40" s="298"/>
      <c r="BR40" s="298"/>
      <c r="BS40" s="298"/>
      <c r="BT40" s="298"/>
      <c r="BU40" s="298"/>
      <c r="BV40" s="298"/>
      <c r="BW40" s="298"/>
      <c r="BX40" s="298"/>
      <c r="BY40" s="298"/>
      <c r="BZ40" s="298"/>
      <c r="CA40" s="298"/>
      <c r="CB40" s="298"/>
      <c r="CC40" s="298"/>
      <c r="CD40" s="298"/>
      <c r="CE40" s="298"/>
      <c r="CF40" s="298"/>
      <c r="CG40" s="298"/>
      <c r="CH40" s="298"/>
      <c r="CI40" s="298"/>
      <c r="CJ40" s="298"/>
      <c r="CK40" s="298"/>
      <c r="CL40" s="298"/>
      <c r="CM40" s="298"/>
      <c r="CN40" s="298"/>
      <c r="CO40" s="298"/>
      <c r="CP40" s="298"/>
      <c r="CQ40" s="298"/>
      <c r="CR40" s="298"/>
      <c r="CS40" s="298"/>
      <c r="CT40" s="298"/>
      <c r="CU40" s="298"/>
      <c r="CV40" s="298"/>
      <c r="CW40" s="298"/>
      <c r="CX40" s="298"/>
      <c r="CY40" s="298"/>
      <c r="CZ40" s="298"/>
      <c r="DA40" s="298"/>
      <c r="DB40" s="298"/>
      <c r="DC40" s="298"/>
      <c r="DD40" s="298"/>
      <c r="DE40" s="298"/>
      <c r="DF40" s="298"/>
      <c r="DG40" s="298"/>
      <c r="DH40" s="298"/>
      <c r="DI40" s="298"/>
      <c r="DJ40" s="298"/>
      <c r="DK40" s="298"/>
      <c r="DL40" s="298"/>
      <c r="DM40" s="298"/>
      <c r="DN40" s="298"/>
      <c r="DO40" s="298"/>
      <c r="DP40" s="298"/>
      <c r="DQ40" s="298"/>
      <c r="DR40" s="298"/>
      <c r="DS40" s="298"/>
      <c r="DT40" s="298"/>
      <c r="DU40" s="298"/>
      <c r="DV40" s="298"/>
      <c r="DW40" s="298"/>
      <c r="DX40" s="298"/>
      <c r="DY40" s="298"/>
      <c r="DZ40" s="298"/>
      <c r="EA40" s="298"/>
      <c r="EB40" s="298"/>
      <c r="EC40" s="298"/>
      <c r="ED40" s="298"/>
      <c r="EE40" s="298"/>
      <c r="EF40" s="298"/>
      <c r="EG40" s="298"/>
      <c r="EH40" s="298"/>
      <c r="EI40" s="298"/>
      <c r="EJ40" s="298"/>
      <c r="EK40" s="298"/>
      <c r="EL40" s="298"/>
      <c r="EM40" s="298"/>
      <c r="EN40" s="298"/>
      <c r="EO40" s="298"/>
      <c r="EP40" s="298"/>
      <c r="EQ40" s="298"/>
      <c r="ER40" s="298"/>
      <c r="ES40" s="298"/>
      <c r="ET40" s="298"/>
      <c r="EU40" s="298"/>
      <c r="EV40" s="298"/>
      <c r="EW40" s="298"/>
      <c r="EX40" s="298"/>
      <c r="EY40" s="298"/>
      <c r="EZ40" s="298"/>
      <c r="FA40" s="298"/>
      <c r="FB40" s="298"/>
      <c r="FC40" s="298"/>
      <c r="FD40" s="298"/>
      <c r="FE40" s="298"/>
      <c r="FF40" s="298"/>
      <c r="FG40" s="298"/>
      <c r="FH40" s="298"/>
      <c r="FI40" s="298"/>
      <c r="FJ40" s="298"/>
      <c r="FK40" s="298"/>
      <c r="FL40" s="298"/>
      <c r="FM40" s="298"/>
      <c r="FN40" s="298"/>
      <c r="FO40" s="298"/>
      <c r="FP40" s="298"/>
      <c r="FQ40" s="298"/>
      <c r="FR40" s="298"/>
      <c r="FS40" s="298"/>
      <c r="FT40" s="298"/>
      <c r="FU40" s="298"/>
      <c r="FV40" s="298"/>
      <c r="FW40" s="298"/>
      <c r="FX40" s="298"/>
      <c r="FY40" s="298"/>
      <c r="FZ40" s="298"/>
      <c r="GA40" s="298"/>
      <c r="GB40" s="298"/>
      <c r="GC40" s="298"/>
      <c r="GD40" s="298"/>
      <c r="GE40" s="298"/>
      <c r="GF40" s="298"/>
      <c r="GG40" s="298"/>
      <c r="GH40" s="298"/>
      <c r="GI40" s="298"/>
      <c r="GJ40" s="298"/>
      <c r="GK40" s="298"/>
      <c r="GL40" s="298"/>
      <c r="GM40" s="298"/>
      <c r="GN40" s="298"/>
      <c r="GO40" s="298"/>
      <c r="GP40" s="298"/>
      <c r="GQ40" s="298"/>
      <c r="GR40" s="298"/>
      <c r="GS40" s="298"/>
      <c r="GT40" s="298"/>
      <c r="GU40" s="298"/>
      <c r="GV40" s="298"/>
      <c r="GW40" s="298"/>
      <c r="GX40" s="298"/>
      <c r="GY40" s="298"/>
      <c r="GZ40" s="298"/>
      <c r="HA40" s="298"/>
      <c r="HB40" s="298"/>
      <c r="HC40" s="298"/>
      <c r="HD40" s="298"/>
      <c r="HE40" s="298"/>
      <c r="HF40" s="298"/>
      <c r="HG40" s="298"/>
      <c r="HH40" s="298"/>
      <c r="HI40" s="298"/>
      <c r="HJ40" s="298"/>
      <c r="HK40" s="298"/>
      <c r="HL40" s="298"/>
      <c r="HM40" s="298"/>
      <c r="HN40" s="298"/>
      <c r="HO40" s="298"/>
      <c r="HP40" s="298"/>
      <c r="HQ40" s="298"/>
      <c r="HR40" s="298"/>
      <c r="HS40" s="298"/>
      <c r="HT40" s="298"/>
      <c r="HU40" s="298"/>
      <c r="HV40" s="298"/>
      <c r="HW40" s="298"/>
      <c r="HX40" s="298"/>
      <c r="HY40" s="298"/>
      <c r="HZ40" s="298"/>
      <c r="IA40" s="298"/>
    </row>
    <row r="41" spans="1:235" s="303" customFormat="1">
      <c r="A41" s="298"/>
      <c r="B41" s="299"/>
      <c r="C41" s="299"/>
      <c r="D41" s="299"/>
      <c r="E41" s="300"/>
      <c r="F41" s="300"/>
      <c r="G41" s="300"/>
      <c r="H41" s="301"/>
      <c r="I41" s="302"/>
      <c r="J41" s="300"/>
      <c r="K41" s="301"/>
      <c r="L41" s="302"/>
      <c r="M41" s="300"/>
      <c r="N41" s="301"/>
      <c r="O41" s="300"/>
      <c r="Q41" s="298"/>
      <c r="R41" s="298"/>
      <c r="S41" s="298"/>
      <c r="T41" s="298"/>
      <c r="U41" s="349"/>
      <c r="V41" s="349"/>
      <c r="W41" s="349"/>
      <c r="X41" s="349"/>
      <c r="Y41" s="349"/>
      <c r="Z41" s="348"/>
      <c r="AA41" s="348"/>
      <c r="AB41" s="348"/>
      <c r="AC41" s="349"/>
      <c r="AD41" s="349"/>
      <c r="AE41" s="349"/>
      <c r="AF41" s="298"/>
      <c r="AG41" s="298"/>
      <c r="AH41" s="298"/>
      <c r="AI41" s="298"/>
      <c r="AJ41" s="298"/>
      <c r="AK41" s="298"/>
      <c r="AL41" s="298"/>
      <c r="AM41" s="298"/>
      <c r="AN41" s="298"/>
      <c r="AO41" s="298"/>
      <c r="AP41" s="298"/>
      <c r="AQ41" s="298"/>
      <c r="AR41" s="298"/>
      <c r="AS41" s="298"/>
      <c r="AT41" s="298"/>
      <c r="AU41" s="298"/>
      <c r="AV41" s="298"/>
      <c r="AW41" s="298"/>
      <c r="AX41" s="298"/>
      <c r="AY41" s="298"/>
      <c r="AZ41" s="298"/>
      <c r="BA41" s="298"/>
      <c r="BB41" s="298"/>
      <c r="BC41" s="298"/>
      <c r="BD41" s="298"/>
      <c r="BE41" s="298"/>
      <c r="BF41" s="298"/>
      <c r="BG41" s="298"/>
      <c r="BH41" s="298"/>
      <c r="BI41" s="298"/>
      <c r="BJ41" s="298"/>
      <c r="BK41" s="298"/>
      <c r="BL41" s="298"/>
      <c r="BM41" s="298"/>
      <c r="BN41" s="298"/>
      <c r="BO41" s="298"/>
      <c r="BP41" s="298"/>
      <c r="BQ41" s="298"/>
      <c r="BR41" s="298"/>
      <c r="BS41" s="298"/>
      <c r="BT41" s="298"/>
      <c r="BU41" s="298"/>
      <c r="BV41" s="298"/>
      <c r="BW41" s="298"/>
      <c r="BX41" s="298"/>
      <c r="BY41" s="298"/>
      <c r="BZ41" s="298"/>
      <c r="CA41" s="298"/>
      <c r="CB41" s="298"/>
      <c r="CC41" s="298"/>
      <c r="CD41" s="298"/>
      <c r="CE41" s="298"/>
      <c r="CF41" s="298"/>
      <c r="CG41" s="298"/>
      <c r="CH41" s="298"/>
      <c r="CI41" s="298"/>
      <c r="CJ41" s="298"/>
      <c r="CK41" s="298"/>
      <c r="CL41" s="298"/>
      <c r="CM41" s="298"/>
      <c r="CN41" s="298"/>
      <c r="CO41" s="298"/>
      <c r="CP41" s="298"/>
      <c r="CQ41" s="298"/>
      <c r="CR41" s="298"/>
      <c r="CS41" s="298"/>
      <c r="CT41" s="298"/>
      <c r="CU41" s="298"/>
      <c r="CV41" s="298"/>
      <c r="CW41" s="298"/>
      <c r="CX41" s="298"/>
      <c r="CY41" s="298"/>
      <c r="CZ41" s="298"/>
      <c r="DA41" s="298"/>
      <c r="DB41" s="298"/>
      <c r="DC41" s="298"/>
      <c r="DD41" s="298"/>
      <c r="DE41" s="298"/>
      <c r="DF41" s="298"/>
      <c r="DG41" s="298"/>
      <c r="DH41" s="298"/>
      <c r="DI41" s="298"/>
      <c r="DJ41" s="298"/>
      <c r="DK41" s="298"/>
      <c r="DL41" s="298"/>
      <c r="DM41" s="298"/>
      <c r="DN41" s="298"/>
      <c r="DO41" s="298"/>
      <c r="DP41" s="298"/>
      <c r="DQ41" s="298"/>
      <c r="DR41" s="298"/>
      <c r="DS41" s="298"/>
      <c r="DT41" s="298"/>
      <c r="DU41" s="298"/>
      <c r="DV41" s="298"/>
      <c r="DW41" s="298"/>
      <c r="DX41" s="298"/>
      <c r="DY41" s="298"/>
      <c r="DZ41" s="298"/>
      <c r="EA41" s="298"/>
      <c r="EB41" s="298"/>
      <c r="EC41" s="298"/>
      <c r="ED41" s="298"/>
      <c r="EE41" s="298"/>
      <c r="EF41" s="298"/>
      <c r="EG41" s="298"/>
      <c r="EH41" s="298"/>
      <c r="EI41" s="298"/>
      <c r="EJ41" s="298"/>
      <c r="EK41" s="298"/>
      <c r="EL41" s="298"/>
      <c r="EM41" s="298"/>
      <c r="EN41" s="298"/>
      <c r="EO41" s="298"/>
      <c r="EP41" s="298"/>
      <c r="EQ41" s="298"/>
      <c r="ER41" s="298"/>
      <c r="ES41" s="298"/>
      <c r="ET41" s="298"/>
      <c r="EU41" s="298"/>
      <c r="EV41" s="298"/>
      <c r="EW41" s="298"/>
      <c r="EX41" s="298"/>
      <c r="EY41" s="298"/>
      <c r="EZ41" s="298"/>
      <c r="FA41" s="298"/>
      <c r="FB41" s="298"/>
      <c r="FC41" s="298"/>
      <c r="FD41" s="298"/>
      <c r="FE41" s="298"/>
      <c r="FF41" s="298"/>
      <c r="FG41" s="298"/>
      <c r="FH41" s="298"/>
      <c r="FI41" s="298"/>
      <c r="FJ41" s="298"/>
      <c r="FK41" s="298"/>
      <c r="FL41" s="298"/>
      <c r="FM41" s="298"/>
      <c r="FN41" s="298"/>
      <c r="FO41" s="298"/>
      <c r="FP41" s="298"/>
      <c r="FQ41" s="298"/>
      <c r="FR41" s="298"/>
      <c r="FS41" s="298"/>
      <c r="FT41" s="298"/>
      <c r="FU41" s="298"/>
      <c r="FV41" s="298"/>
      <c r="FW41" s="298"/>
      <c r="FX41" s="298"/>
      <c r="FY41" s="298"/>
      <c r="FZ41" s="298"/>
      <c r="GA41" s="298"/>
      <c r="GB41" s="298"/>
      <c r="GC41" s="298"/>
      <c r="GD41" s="298"/>
      <c r="GE41" s="298"/>
      <c r="GF41" s="298"/>
      <c r="GG41" s="298"/>
      <c r="GH41" s="298"/>
      <c r="GI41" s="298"/>
      <c r="GJ41" s="298"/>
      <c r="GK41" s="298"/>
      <c r="GL41" s="298"/>
      <c r="GM41" s="298"/>
      <c r="GN41" s="298"/>
      <c r="GO41" s="298"/>
      <c r="GP41" s="298"/>
      <c r="GQ41" s="298"/>
      <c r="GR41" s="298"/>
      <c r="GS41" s="298"/>
      <c r="GT41" s="298"/>
      <c r="GU41" s="298"/>
      <c r="GV41" s="298"/>
      <c r="GW41" s="298"/>
      <c r="GX41" s="298"/>
      <c r="GY41" s="298"/>
      <c r="GZ41" s="298"/>
      <c r="HA41" s="298"/>
      <c r="HB41" s="298"/>
      <c r="HC41" s="298"/>
      <c r="HD41" s="298"/>
      <c r="HE41" s="298"/>
      <c r="HF41" s="298"/>
      <c r="HG41" s="298"/>
      <c r="HH41" s="298"/>
      <c r="HI41" s="298"/>
      <c r="HJ41" s="298"/>
      <c r="HK41" s="298"/>
      <c r="HL41" s="298"/>
      <c r="HM41" s="298"/>
      <c r="HN41" s="298"/>
      <c r="HO41" s="298"/>
      <c r="HP41" s="298"/>
      <c r="HQ41" s="298"/>
      <c r="HR41" s="298"/>
      <c r="HS41" s="298"/>
      <c r="HT41" s="298"/>
      <c r="HU41" s="298"/>
      <c r="HV41" s="298"/>
      <c r="HW41" s="298"/>
      <c r="HX41" s="298"/>
      <c r="HY41" s="298"/>
      <c r="HZ41" s="298"/>
      <c r="IA41" s="298"/>
    </row>
    <row r="42" spans="1:235" s="303" customFormat="1">
      <c r="A42" s="298"/>
      <c r="B42" s="299"/>
      <c r="C42" s="299"/>
      <c r="D42" s="299"/>
      <c r="E42" s="300"/>
      <c r="F42" s="300"/>
      <c r="G42" s="300"/>
      <c r="H42" s="301"/>
      <c r="I42" s="302"/>
      <c r="J42" s="300"/>
      <c r="K42" s="301"/>
      <c r="L42" s="302"/>
      <c r="M42" s="300"/>
      <c r="N42" s="301"/>
      <c r="O42" s="300"/>
      <c r="Q42" s="298"/>
      <c r="R42" s="298"/>
      <c r="S42" s="298"/>
      <c r="T42" s="298"/>
      <c r="U42" s="349"/>
      <c r="V42" s="349"/>
      <c r="W42" s="349"/>
      <c r="X42" s="349"/>
      <c r="Y42" s="349"/>
      <c r="Z42" s="348"/>
      <c r="AA42" s="348"/>
      <c r="AB42" s="348"/>
      <c r="AC42" s="349"/>
      <c r="AD42" s="349"/>
      <c r="AE42" s="349"/>
      <c r="AF42" s="298"/>
      <c r="AG42" s="298"/>
      <c r="AH42" s="298"/>
      <c r="AI42" s="298"/>
      <c r="AJ42" s="298"/>
      <c r="AK42" s="298"/>
      <c r="AL42" s="298"/>
      <c r="AM42" s="298"/>
      <c r="AN42" s="298"/>
      <c r="AO42" s="298"/>
      <c r="AP42" s="298"/>
      <c r="AQ42" s="298"/>
      <c r="AR42" s="298"/>
      <c r="AS42" s="298"/>
      <c r="AT42" s="298"/>
      <c r="AU42" s="298"/>
      <c r="AV42" s="298"/>
      <c r="AW42" s="298"/>
      <c r="AX42" s="298"/>
      <c r="AY42" s="298"/>
      <c r="AZ42" s="298"/>
      <c r="BA42" s="298"/>
      <c r="BB42" s="298"/>
      <c r="BC42" s="298"/>
      <c r="BD42" s="298"/>
      <c r="BE42" s="298"/>
      <c r="BF42" s="298"/>
      <c r="BG42" s="298"/>
      <c r="BH42" s="298"/>
      <c r="BI42" s="298"/>
      <c r="BJ42" s="298"/>
      <c r="BK42" s="298"/>
      <c r="BL42" s="298"/>
      <c r="BM42" s="298"/>
      <c r="BN42" s="298"/>
      <c r="BO42" s="298"/>
      <c r="BP42" s="298"/>
      <c r="BQ42" s="298"/>
      <c r="BR42" s="298"/>
      <c r="BS42" s="298"/>
      <c r="BT42" s="298"/>
      <c r="BU42" s="298"/>
      <c r="BV42" s="298"/>
      <c r="BW42" s="298"/>
      <c r="BX42" s="298"/>
      <c r="BY42" s="298"/>
      <c r="BZ42" s="298"/>
      <c r="CA42" s="298"/>
      <c r="CB42" s="298"/>
      <c r="CC42" s="298"/>
      <c r="CD42" s="298"/>
      <c r="CE42" s="298"/>
      <c r="CF42" s="298"/>
      <c r="CG42" s="298"/>
      <c r="CH42" s="298"/>
      <c r="CI42" s="298"/>
      <c r="CJ42" s="298"/>
      <c r="CK42" s="298"/>
      <c r="CL42" s="298"/>
      <c r="CM42" s="298"/>
      <c r="CN42" s="298"/>
      <c r="CO42" s="298"/>
      <c r="CP42" s="298"/>
      <c r="CQ42" s="298"/>
      <c r="CR42" s="298"/>
      <c r="CS42" s="298"/>
      <c r="CT42" s="298"/>
      <c r="CU42" s="298"/>
      <c r="CV42" s="298"/>
      <c r="CW42" s="298"/>
      <c r="CX42" s="298"/>
      <c r="CY42" s="298"/>
      <c r="CZ42" s="298"/>
      <c r="DA42" s="298"/>
      <c r="DB42" s="298"/>
      <c r="DC42" s="298"/>
      <c r="DD42" s="298"/>
      <c r="DE42" s="298"/>
      <c r="DF42" s="298"/>
      <c r="DG42" s="298"/>
      <c r="DH42" s="298"/>
      <c r="DI42" s="298"/>
      <c r="DJ42" s="298"/>
      <c r="DK42" s="298"/>
      <c r="DL42" s="298"/>
      <c r="DM42" s="298"/>
      <c r="DN42" s="298"/>
      <c r="DO42" s="298"/>
      <c r="DP42" s="298"/>
      <c r="DQ42" s="298"/>
      <c r="DR42" s="298"/>
      <c r="DS42" s="298"/>
      <c r="DT42" s="298"/>
      <c r="DU42" s="298"/>
      <c r="DV42" s="298"/>
      <c r="DW42" s="298"/>
      <c r="DX42" s="298"/>
      <c r="DY42" s="298"/>
      <c r="DZ42" s="298"/>
      <c r="EA42" s="298"/>
      <c r="EB42" s="298"/>
      <c r="EC42" s="298"/>
      <c r="ED42" s="298"/>
      <c r="EE42" s="298"/>
      <c r="EF42" s="298"/>
      <c r="EG42" s="298"/>
      <c r="EH42" s="298"/>
      <c r="EI42" s="298"/>
      <c r="EJ42" s="298"/>
      <c r="EK42" s="298"/>
      <c r="EL42" s="298"/>
      <c r="EM42" s="298"/>
      <c r="EN42" s="298"/>
      <c r="EO42" s="298"/>
      <c r="EP42" s="298"/>
      <c r="EQ42" s="298"/>
      <c r="ER42" s="298"/>
      <c r="ES42" s="298"/>
      <c r="ET42" s="298"/>
      <c r="EU42" s="298"/>
      <c r="EV42" s="298"/>
      <c r="EW42" s="298"/>
      <c r="EX42" s="298"/>
      <c r="EY42" s="298"/>
      <c r="EZ42" s="298"/>
      <c r="FA42" s="298"/>
      <c r="FB42" s="298"/>
      <c r="FC42" s="298"/>
      <c r="FD42" s="298"/>
      <c r="FE42" s="298"/>
      <c r="FF42" s="298"/>
      <c r="FG42" s="298"/>
      <c r="FH42" s="298"/>
      <c r="FI42" s="298"/>
      <c r="FJ42" s="298"/>
      <c r="FK42" s="298"/>
      <c r="FL42" s="298"/>
      <c r="FM42" s="298"/>
      <c r="FN42" s="298"/>
      <c r="FO42" s="298"/>
      <c r="FP42" s="298"/>
      <c r="FQ42" s="298"/>
      <c r="FR42" s="298"/>
      <c r="FS42" s="298"/>
      <c r="FT42" s="298"/>
      <c r="FU42" s="298"/>
      <c r="FV42" s="298"/>
      <c r="FW42" s="298"/>
      <c r="FX42" s="298"/>
      <c r="FY42" s="298"/>
      <c r="FZ42" s="298"/>
      <c r="GA42" s="298"/>
      <c r="GB42" s="298"/>
      <c r="GC42" s="298"/>
      <c r="GD42" s="298"/>
      <c r="GE42" s="298"/>
      <c r="GF42" s="298"/>
      <c r="GG42" s="298"/>
      <c r="GH42" s="298"/>
      <c r="GI42" s="298"/>
      <c r="GJ42" s="298"/>
      <c r="GK42" s="298"/>
      <c r="GL42" s="298"/>
      <c r="GM42" s="298"/>
      <c r="GN42" s="298"/>
      <c r="GO42" s="298"/>
      <c r="GP42" s="298"/>
      <c r="GQ42" s="298"/>
      <c r="GR42" s="298"/>
      <c r="GS42" s="298"/>
      <c r="GT42" s="298"/>
      <c r="GU42" s="298"/>
      <c r="GV42" s="298"/>
      <c r="GW42" s="298"/>
      <c r="GX42" s="298"/>
      <c r="GY42" s="298"/>
      <c r="GZ42" s="298"/>
      <c r="HA42" s="298"/>
      <c r="HB42" s="298"/>
      <c r="HC42" s="298"/>
      <c r="HD42" s="298"/>
      <c r="HE42" s="298"/>
      <c r="HF42" s="298"/>
      <c r="HG42" s="298"/>
      <c r="HH42" s="298"/>
      <c r="HI42" s="298"/>
      <c r="HJ42" s="298"/>
      <c r="HK42" s="298"/>
      <c r="HL42" s="298"/>
      <c r="HM42" s="298"/>
      <c r="HN42" s="298"/>
      <c r="HO42" s="298"/>
      <c r="HP42" s="298"/>
      <c r="HQ42" s="298"/>
      <c r="HR42" s="298"/>
      <c r="HS42" s="298"/>
      <c r="HT42" s="298"/>
      <c r="HU42" s="298"/>
      <c r="HV42" s="298"/>
      <c r="HW42" s="298"/>
      <c r="HX42" s="298"/>
      <c r="HY42" s="298"/>
      <c r="HZ42" s="298"/>
      <c r="IA42" s="298"/>
    </row>
    <row r="43" spans="1:235" s="303" customFormat="1">
      <c r="A43" s="298"/>
      <c r="B43" s="299"/>
      <c r="C43" s="299"/>
      <c r="D43" s="299"/>
      <c r="E43" s="300"/>
      <c r="F43" s="300"/>
      <c r="G43" s="300"/>
      <c r="H43" s="301"/>
      <c r="I43" s="302"/>
      <c r="J43" s="300"/>
      <c r="K43" s="301"/>
      <c r="L43" s="302"/>
      <c r="M43" s="300"/>
      <c r="N43" s="301"/>
      <c r="O43" s="300"/>
      <c r="Q43" s="298"/>
      <c r="R43" s="298"/>
      <c r="S43" s="298"/>
      <c r="T43" s="298"/>
      <c r="U43" s="349"/>
      <c r="V43" s="349"/>
      <c r="W43" s="349"/>
      <c r="X43" s="349"/>
      <c r="Y43" s="349"/>
      <c r="Z43" s="348"/>
      <c r="AA43" s="348"/>
      <c r="AB43" s="348"/>
      <c r="AC43" s="349"/>
      <c r="AD43" s="349"/>
      <c r="AE43" s="349"/>
      <c r="AF43" s="298"/>
      <c r="AG43" s="298"/>
      <c r="AH43" s="298"/>
      <c r="AI43" s="298"/>
      <c r="AJ43" s="298"/>
      <c r="AK43" s="298"/>
      <c r="AL43" s="298"/>
      <c r="AM43" s="298"/>
      <c r="AN43" s="298"/>
      <c r="AO43" s="298"/>
      <c r="AP43" s="298"/>
      <c r="AQ43" s="298"/>
      <c r="AR43" s="298"/>
      <c r="AS43" s="298"/>
      <c r="AT43" s="298"/>
      <c r="AU43" s="298"/>
      <c r="AV43" s="298"/>
      <c r="AW43" s="298"/>
      <c r="AX43" s="298"/>
      <c r="AY43" s="298"/>
      <c r="AZ43" s="298"/>
      <c r="BA43" s="298"/>
      <c r="BB43" s="298"/>
      <c r="BC43" s="298"/>
      <c r="BD43" s="298"/>
      <c r="BE43" s="298"/>
      <c r="BF43" s="298"/>
      <c r="BG43" s="298"/>
      <c r="BH43" s="298"/>
      <c r="BI43" s="298"/>
      <c r="BJ43" s="298"/>
      <c r="BK43" s="298"/>
      <c r="BL43" s="298"/>
      <c r="BM43" s="298"/>
      <c r="BN43" s="298"/>
      <c r="BO43" s="298"/>
      <c r="BP43" s="298"/>
      <c r="BQ43" s="298"/>
      <c r="BR43" s="298"/>
      <c r="BS43" s="298"/>
      <c r="BT43" s="298"/>
      <c r="BU43" s="298"/>
      <c r="BV43" s="298"/>
      <c r="BW43" s="298"/>
      <c r="BX43" s="298"/>
      <c r="BY43" s="298"/>
      <c r="BZ43" s="298"/>
      <c r="CA43" s="298"/>
      <c r="CB43" s="298"/>
      <c r="CC43" s="298"/>
      <c r="CD43" s="298"/>
      <c r="CE43" s="298"/>
      <c r="CF43" s="298"/>
      <c r="CG43" s="298"/>
      <c r="CH43" s="298"/>
      <c r="CI43" s="298"/>
      <c r="CJ43" s="298"/>
      <c r="CK43" s="298"/>
      <c r="CL43" s="298"/>
      <c r="CM43" s="298"/>
      <c r="CN43" s="298"/>
      <c r="CO43" s="298"/>
      <c r="CP43" s="298"/>
      <c r="CQ43" s="298"/>
      <c r="CR43" s="298"/>
      <c r="CS43" s="298"/>
      <c r="CT43" s="298"/>
      <c r="CU43" s="298"/>
      <c r="CV43" s="298"/>
      <c r="CW43" s="298"/>
      <c r="CX43" s="298"/>
      <c r="CY43" s="298"/>
      <c r="CZ43" s="298"/>
      <c r="DA43" s="298"/>
      <c r="DB43" s="298"/>
      <c r="DC43" s="298"/>
      <c r="DD43" s="298"/>
      <c r="DE43" s="298"/>
      <c r="DF43" s="298"/>
      <c r="DG43" s="298"/>
      <c r="DH43" s="298"/>
      <c r="DI43" s="298"/>
      <c r="DJ43" s="298"/>
      <c r="DK43" s="298"/>
      <c r="DL43" s="298"/>
      <c r="DM43" s="298"/>
      <c r="DN43" s="298"/>
      <c r="DO43" s="298"/>
      <c r="DP43" s="298"/>
      <c r="DQ43" s="298"/>
      <c r="DR43" s="298"/>
      <c r="DS43" s="298"/>
      <c r="DT43" s="298"/>
      <c r="DU43" s="298"/>
      <c r="DV43" s="298"/>
      <c r="DW43" s="298"/>
      <c r="DX43" s="298"/>
      <c r="DY43" s="298"/>
      <c r="DZ43" s="298"/>
      <c r="EA43" s="298"/>
      <c r="EB43" s="298"/>
      <c r="EC43" s="298"/>
      <c r="ED43" s="298"/>
      <c r="EE43" s="298"/>
      <c r="EF43" s="298"/>
      <c r="EG43" s="298"/>
      <c r="EH43" s="298"/>
      <c r="EI43" s="298"/>
      <c r="EJ43" s="298"/>
      <c r="EK43" s="298"/>
      <c r="EL43" s="298"/>
      <c r="EM43" s="298"/>
      <c r="EN43" s="298"/>
      <c r="EO43" s="298"/>
      <c r="EP43" s="298"/>
      <c r="EQ43" s="298"/>
      <c r="ER43" s="298"/>
      <c r="ES43" s="298"/>
      <c r="ET43" s="298"/>
      <c r="EU43" s="298"/>
      <c r="EV43" s="298"/>
      <c r="EW43" s="298"/>
      <c r="EX43" s="298"/>
      <c r="EY43" s="298"/>
      <c r="EZ43" s="298"/>
      <c r="FA43" s="298"/>
      <c r="FB43" s="298"/>
      <c r="FC43" s="298"/>
      <c r="FD43" s="298"/>
      <c r="FE43" s="298"/>
      <c r="FF43" s="298"/>
      <c r="FG43" s="298"/>
      <c r="FH43" s="298"/>
      <c r="FI43" s="298"/>
      <c r="FJ43" s="298"/>
      <c r="FK43" s="298"/>
      <c r="FL43" s="298"/>
      <c r="FM43" s="298"/>
      <c r="FN43" s="298"/>
      <c r="FO43" s="298"/>
      <c r="FP43" s="298"/>
      <c r="FQ43" s="298"/>
      <c r="FR43" s="298"/>
      <c r="FS43" s="298"/>
      <c r="FT43" s="298"/>
      <c r="FU43" s="298"/>
      <c r="FV43" s="298"/>
      <c r="FW43" s="298"/>
      <c r="FX43" s="298"/>
      <c r="FY43" s="298"/>
      <c r="FZ43" s="298"/>
      <c r="GA43" s="298"/>
      <c r="GB43" s="298"/>
      <c r="GC43" s="298"/>
      <c r="GD43" s="298"/>
      <c r="GE43" s="298"/>
      <c r="GF43" s="298"/>
      <c r="GG43" s="298"/>
      <c r="GH43" s="298"/>
      <c r="GI43" s="298"/>
      <c r="GJ43" s="298"/>
      <c r="GK43" s="298"/>
      <c r="GL43" s="298"/>
      <c r="GM43" s="298"/>
      <c r="GN43" s="298"/>
      <c r="GO43" s="298"/>
      <c r="GP43" s="298"/>
      <c r="GQ43" s="298"/>
      <c r="GR43" s="298"/>
      <c r="GS43" s="298"/>
      <c r="GT43" s="298"/>
      <c r="GU43" s="298"/>
      <c r="GV43" s="298"/>
      <c r="GW43" s="298"/>
      <c r="GX43" s="298"/>
      <c r="GY43" s="298"/>
      <c r="GZ43" s="298"/>
      <c r="HA43" s="298"/>
      <c r="HB43" s="298"/>
      <c r="HC43" s="298"/>
      <c r="HD43" s="298"/>
      <c r="HE43" s="298"/>
      <c r="HF43" s="298"/>
      <c r="HG43" s="298"/>
      <c r="HH43" s="298"/>
      <c r="HI43" s="298"/>
      <c r="HJ43" s="298"/>
      <c r="HK43" s="298"/>
      <c r="HL43" s="298"/>
      <c r="HM43" s="298"/>
      <c r="HN43" s="298"/>
      <c r="HO43" s="298"/>
      <c r="HP43" s="298"/>
      <c r="HQ43" s="298"/>
      <c r="HR43" s="298"/>
      <c r="HS43" s="298"/>
      <c r="HT43" s="298"/>
      <c r="HU43" s="298"/>
      <c r="HV43" s="298"/>
      <c r="HW43" s="298"/>
      <c r="HX43" s="298"/>
      <c r="HY43" s="298"/>
      <c r="HZ43" s="298"/>
      <c r="IA43" s="298"/>
    </row>
    <row r="44" spans="1:235" s="303" customFormat="1">
      <c r="A44" s="298"/>
      <c r="B44" s="299"/>
      <c r="C44" s="299"/>
      <c r="D44" s="299"/>
      <c r="E44" s="300"/>
      <c r="F44" s="300"/>
      <c r="G44" s="300"/>
      <c r="H44" s="301"/>
      <c r="I44" s="302"/>
      <c r="J44" s="300"/>
      <c r="K44" s="301"/>
      <c r="L44" s="302"/>
      <c r="M44" s="300"/>
      <c r="N44" s="301"/>
      <c r="O44" s="300"/>
      <c r="Q44" s="298"/>
      <c r="R44" s="298"/>
      <c r="S44" s="298"/>
      <c r="T44" s="298"/>
      <c r="U44" s="349"/>
      <c r="V44" s="349"/>
      <c r="W44" s="349"/>
      <c r="X44" s="349"/>
      <c r="Y44" s="349"/>
      <c r="Z44" s="348"/>
      <c r="AA44" s="348"/>
      <c r="AB44" s="348"/>
      <c r="AC44" s="349"/>
      <c r="AD44" s="349"/>
      <c r="AE44" s="349"/>
      <c r="AF44" s="298"/>
      <c r="AG44" s="298"/>
      <c r="AH44" s="298"/>
      <c r="AI44" s="298"/>
      <c r="AJ44" s="298"/>
      <c r="AK44" s="298"/>
      <c r="AL44" s="298"/>
      <c r="AM44" s="298"/>
      <c r="AN44" s="298"/>
      <c r="AO44" s="298"/>
      <c r="AP44" s="298"/>
      <c r="AQ44" s="298"/>
      <c r="AR44" s="298"/>
      <c r="AS44" s="298"/>
      <c r="AT44" s="298"/>
      <c r="AU44" s="298"/>
      <c r="AV44" s="298"/>
      <c r="AW44" s="298"/>
      <c r="AX44" s="298"/>
      <c r="AY44" s="298"/>
      <c r="AZ44" s="298"/>
      <c r="BA44" s="298"/>
      <c r="BB44" s="298"/>
      <c r="BC44" s="298"/>
      <c r="BD44" s="298"/>
      <c r="BE44" s="298"/>
      <c r="BF44" s="298"/>
      <c r="BG44" s="298"/>
      <c r="BH44" s="298"/>
      <c r="BI44" s="298"/>
      <c r="BJ44" s="298"/>
      <c r="BK44" s="298"/>
      <c r="BL44" s="298"/>
      <c r="BM44" s="298"/>
      <c r="BN44" s="298"/>
      <c r="BO44" s="298"/>
      <c r="BP44" s="298"/>
      <c r="BQ44" s="298"/>
      <c r="BR44" s="298"/>
      <c r="BS44" s="298"/>
      <c r="BT44" s="298"/>
      <c r="BU44" s="298"/>
      <c r="BV44" s="298"/>
      <c r="BW44" s="298"/>
      <c r="BX44" s="298"/>
      <c r="BY44" s="298"/>
      <c r="BZ44" s="298"/>
      <c r="CA44" s="298"/>
      <c r="CB44" s="298"/>
      <c r="CC44" s="298"/>
      <c r="CD44" s="298"/>
      <c r="CE44" s="298"/>
      <c r="CF44" s="298"/>
      <c r="CG44" s="298"/>
      <c r="CH44" s="298"/>
      <c r="CI44" s="298"/>
      <c r="CJ44" s="298"/>
      <c r="CK44" s="298"/>
      <c r="CL44" s="298"/>
      <c r="CM44" s="298"/>
      <c r="CN44" s="298"/>
      <c r="CO44" s="298"/>
      <c r="CP44" s="298"/>
      <c r="CQ44" s="298"/>
      <c r="CR44" s="298"/>
      <c r="CS44" s="298"/>
      <c r="CT44" s="298"/>
      <c r="CU44" s="298"/>
      <c r="CV44" s="298"/>
      <c r="CW44" s="298"/>
      <c r="CX44" s="298"/>
      <c r="CY44" s="298"/>
      <c r="CZ44" s="298"/>
      <c r="DA44" s="298"/>
      <c r="DB44" s="298"/>
      <c r="DC44" s="298"/>
      <c r="DD44" s="298"/>
      <c r="DE44" s="298"/>
      <c r="DF44" s="298"/>
      <c r="DG44" s="298"/>
      <c r="DH44" s="298"/>
      <c r="DI44" s="298"/>
      <c r="DJ44" s="298"/>
      <c r="DK44" s="298"/>
      <c r="DL44" s="298"/>
      <c r="DM44" s="298"/>
      <c r="DN44" s="298"/>
      <c r="DO44" s="298"/>
      <c r="DP44" s="298"/>
      <c r="DQ44" s="298"/>
      <c r="DR44" s="298"/>
      <c r="DS44" s="298"/>
      <c r="DT44" s="298"/>
      <c r="DU44" s="298"/>
      <c r="DV44" s="298"/>
      <c r="DW44" s="298"/>
      <c r="DX44" s="298"/>
      <c r="DY44" s="298"/>
      <c r="DZ44" s="298"/>
      <c r="EA44" s="298"/>
      <c r="EB44" s="298"/>
      <c r="EC44" s="298"/>
      <c r="ED44" s="298"/>
      <c r="EE44" s="298"/>
      <c r="EF44" s="298"/>
      <c r="EG44" s="298"/>
      <c r="EH44" s="298"/>
      <c r="EI44" s="298"/>
      <c r="EJ44" s="298"/>
      <c r="EK44" s="298"/>
      <c r="EL44" s="298"/>
      <c r="EM44" s="298"/>
      <c r="EN44" s="298"/>
      <c r="EO44" s="298"/>
      <c r="EP44" s="298"/>
      <c r="EQ44" s="298"/>
      <c r="ER44" s="298"/>
      <c r="ES44" s="298"/>
      <c r="ET44" s="298"/>
      <c r="EU44" s="298"/>
      <c r="EV44" s="298"/>
      <c r="EW44" s="298"/>
      <c r="EX44" s="298"/>
      <c r="EY44" s="298"/>
      <c r="EZ44" s="298"/>
      <c r="FA44" s="298"/>
      <c r="FB44" s="298"/>
      <c r="FC44" s="298"/>
      <c r="FD44" s="298"/>
      <c r="FE44" s="298"/>
      <c r="FF44" s="298"/>
      <c r="FG44" s="298"/>
      <c r="FH44" s="298"/>
      <c r="FI44" s="298"/>
      <c r="FJ44" s="298"/>
      <c r="FK44" s="298"/>
      <c r="FL44" s="298"/>
      <c r="FM44" s="298"/>
      <c r="FN44" s="298"/>
      <c r="FO44" s="298"/>
      <c r="FP44" s="298"/>
      <c r="FQ44" s="298"/>
      <c r="FR44" s="298"/>
      <c r="FS44" s="298"/>
      <c r="FT44" s="298"/>
      <c r="FU44" s="298"/>
      <c r="FV44" s="298"/>
      <c r="FW44" s="298"/>
      <c r="FX44" s="298"/>
      <c r="FY44" s="298"/>
      <c r="FZ44" s="298"/>
      <c r="GA44" s="298"/>
      <c r="GB44" s="298"/>
      <c r="GC44" s="298"/>
      <c r="GD44" s="298"/>
      <c r="GE44" s="298"/>
      <c r="GF44" s="298"/>
      <c r="GG44" s="298"/>
      <c r="GH44" s="298"/>
      <c r="GI44" s="298"/>
      <c r="GJ44" s="298"/>
      <c r="GK44" s="298"/>
      <c r="GL44" s="298"/>
      <c r="GM44" s="298"/>
      <c r="GN44" s="298"/>
      <c r="GO44" s="298"/>
      <c r="GP44" s="298"/>
      <c r="GQ44" s="298"/>
      <c r="GR44" s="298"/>
      <c r="GS44" s="298"/>
      <c r="GT44" s="298"/>
      <c r="GU44" s="298"/>
      <c r="GV44" s="298"/>
      <c r="GW44" s="298"/>
      <c r="GX44" s="298"/>
      <c r="GY44" s="298"/>
      <c r="GZ44" s="298"/>
      <c r="HA44" s="298"/>
      <c r="HB44" s="298"/>
      <c r="HC44" s="298"/>
      <c r="HD44" s="298"/>
      <c r="HE44" s="298"/>
      <c r="HF44" s="298"/>
      <c r="HG44" s="298"/>
      <c r="HH44" s="298"/>
      <c r="HI44" s="298"/>
      <c r="HJ44" s="298"/>
      <c r="HK44" s="298"/>
      <c r="HL44" s="298"/>
      <c r="HM44" s="298"/>
      <c r="HN44" s="298"/>
      <c r="HO44" s="298"/>
      <c r="HP44" s="298"/>
      <c r="HQ44" s="298"/>
      <c r="HR44" s="298"/>
      <c r="HS44" s="298"/>
      <c r="HT44" s="298"/>
      <c r="HU44" s="298"/>
      <c r="HV44" s="298"/>
      <c r="HW44" s="298"/>
      <c r="HX44" s="298"/>
      <c r="HY44" s="298"/>
      <c r="HZ44" s="298"/>
      <c r="IA44" s="298"/>
    </row>
    <row r="45" spans="1:235" s="303" customFormat="1">
      <c r="A45" s="298"/>
      <c r="B45" s="299"/>
      <c r="C45" s="299"/>
      <c r="D45" s="299"/>
      <c r="E45" s="300"/>
      <c r="F45" s="300"/>
      <c r="G45" s="300"/>
      <c r="H45" s="301"/>
      <c r="I45" s="302"/>
      <c r="J45" s="300"/>
      <c r="K45" s="301"/>
      <c r="L45" s="302"/>
      <c r="M45" s="300"/>
      <c r="N45" s="301"/>
      <c r="O45" s="300"/>
      <c r="Q45" s="298"/>
      <c r="R45" s="298"/>
      <c r="S45" s="298"/>
      <c r="T45" s="298"/>
      <c r="U45" s="349"/>
      <c r="V45" s="349"/>
      <c r="W45" s="349"/>
      <c r="X45" s="349"/>
      <c r="Y45" s="349"/>
      <c r="Z45" s="348"/>
      <c r="AA45" s="348"/>
      <c r="AB45" s="348"/>
      <c r="AC45" s="349"/>
      <c r="AD45" s="349"/>
      <c r="AE45" s="349"/>
      <c r="AF45" s="298"/>
      <c r="AG45" s="298"/>
      <c r="AH45" s="298"/>
      <c r="AI45" s="298"/>
      <c r="AJ45" s="298"/>
      <c r="AK45" s="298"/>
      <c r="AL45" s="298"/>
      <c r="AM45" s="298"/>
      <c r="AN45" s="298"/>
      <c r="AO45" s="298"/>
      <c r="AP45" s="298"/>
      <c r="AQ45" s="298"/>
      <c r="AR45" s="298"/>
      <c r="AS45" s="298"/>
      <c r="AT45" s="298"/>
      <c r="AU45" s="298"/>
      <c r="AV45" s="298"/>
      <c r="AW45" s="298"/>
      <c r="AX45" s="298"/>
      <c r="AY45" s="298"/>
      <c r="AZ45" s="298"/>
      <c r="BA45" s="298"/>
      <c r="BB45" s="298"/>
      <c r="BC45" s="298"/>
      <c r="BD45" s="298"/>
      <c r="BE45" s="298"/>
      <c r="BF45" s="298"/>
      <c r="BG45" s="298"/>
      <c r="BH45" s="298"/>
      <c r="BI45" s="298"/>
      <c r="BJ45" s="298"/>
      <c r="BK45" s="298"/>
      <c r="BL45" s="298"/>
      <c r="BM45" s="298"/>
      <c r="BN45" s="298"/>
      <c r="BO45" s="298"/>
      <c r="BP45" s="298"/>
      <c r="BQ45" s="298"/>
      <c r="BR45" s="298"/>
      <c r="BS45" s="298"/>
      <c r="BT45" s="298"/>
      <c r="BU45" s="298"/>
      <c r="BV45" s="298"/>
      <c r="BW45" s="298"/>
      <c r="BX45" s="298"/>
      <c r="BY45" s="298"/>
      <c r="BZ45" s="298"/>
      <c r="CA45" s="298"/>
      <c r="CB45" s="298"/>
      <c r="CC45" s="298"/>
      <c r="CD45" s="298"/>
      <c r="CE45" s="298"/>
      <c r="CF45" s="298"/>
      <c r="CG45" s="298"/>
      <c r="CH45" s="298"/>
      <c r="CI45" s="298"/>
      <c r="CJ45" s="298"/>
      <c r="CK45" s="298"/>
      <c r="CL45" s="298"/>
      <c r="CM45" s="298"/>
      <c r="CN45" s="298"/>
      <c r="CO45" s="298"/>
      <c r="CP45" s="298"/>
      <c r="CQ45" s="298"/>
      <c r="CR45" s="298"/>
      <c r="CS45" s="298"/>
      <c r="CT45" s="298"/>
      <c r="CU45" s="298"/>
      <c r="CV45" s="298"/>
      <c r="CW45" s="298"/>
      <c r="CX45" s="298"/>
      <c r="CY45" s="298"/>
      <c r="CZ45" s="298"/>
      <c r="DA45" s="298"/>
      <c r="DB45" s="298"/>
      <c r="DC45" s="298"/>
      <c r="DD45" s="298"/>
      <c r="DE45" s="298"/>
      <c r="DF45" s="298"/>
      <c r="DG45" s="298"/>
      <c r="DH45" s="298"/>
      <c r="DI45" s="298"/>
      <c r="DJ45" s="298"/>
      <c r="DK45" s="298"/>
      <c r="DL45" s="298"/>
      <c r="DM45" s="298"/>
      <c r="DN45" s="298"/>
      <c r="DO45" s="298"/>
      <c r="DP45" s="298"/>
      <c r="DQ45" s="298"/>
      <c r="DR45" s="298"/>
      <c r="DS45" s="298"/>
      <c r="DT45" s="298"/>
      <c r="DU45" s="298"/>
      <c r="DV45" s="298"/>
      <c r="DW45" s="298"/>
      <c r="DX45" s="298"/>
      <c r="DY45" s="298"/>
      <c r="DZ45" s="298"/>
      <c r="EA45" s="298"/>
      <c r="EB45" s="298"/>
      <c r="EC45" s="298"/>
      <c r="ED45" s="298"/>
      <c r="EE45" s="298"/>
      <c r="EF45" s="298"/>
      <c r="EG45" s="298"/>
      <c r="EH45" s="298"/>
      <c r="EI45" s="298"/>
      <c r="EJ45" s="298"/>
      <c r="EK45" s="298"/>
      <c r="EL45" s="298"/>
      <c r="EM45" s="298"/>
      <c r="EN45" s="298"/>
      <c r="EO45" s="298"/>
      <c r="EP45" s="298"/>
      <c r="EQ45" s="298"/>
      <c r="ER45" s="298"/>
      <c r="ES45" s="298"/>
      <c r="ET45" s="298"/>
      <c r="EU45" s="298"/>
      <c r="EV45" s="298"/>
      <c r="EW45" s="298"/>
      <c r="EX45" s="298"/>
      <c r="EY45" s="298"/>
      <c r="EZ45" s="298"/>
      <c r="FA45" s="298"/>
      <c r="FB45" s="298"/>
      <c r="FC45" s="298"/>
      <c r="FD45" s="298"/>
      <c r="FE45" s="298"/>
      <c r="FF45" s="298"/>
      <c r="FG45" s="298"/>
      <c r="FH45" s="298"/>
      <c r="FI45" s="298"/>
      <c r="FJ45" s="298"/>
      <c r="FK45" s="298"/>
      <c r="FL45" s="298"/>
      <c r="FM45" s="298"/>
      <c r="FN45" s="298"/>
      <c r="FO45" s="298"/>
      <c r="FP45" s="298"/>
      <c r="FQ45" s="298"/>
      <c r="FR45" s="298"/>
      <c r="FS45" s="298"/>
      <c r="FT45" s="298"/>
      <c r="FU45" s="298"/>
      <c r="FV45" s="298"/>
      <c r="FW45" s="298"/>
      <c r="FX45" s="298"/>
      <c r="FY45" s="298"/>
      <c r="FZ45" s="298"/>
      <c r="GA45" s="298"/>
      <c r="GB45" s="298"/>
      <c r="GC45" s="298"/>
      <c r="GD45" s="298"/>
      <c r="GE45" s="298"/>
      <c r="GF45" s="298"/>
      <c r="GG45" s="298"/>
      <c r="GH45" s="298"/>
      <c r="GI45" s="298"/>
      <c r="GJ45" s="298"/>
      <c r="GK45" s="298"/>
      <c r="GL45" s="298"/>
      <c r="GM45" s="298"/>
      <c r="GN45" s="298"/>
      <c r="GO45" s="298"/>
      <c r="GP45" s="298"/>
      <c r="GQ45" s="298"/>
      <c r="GR45" s="298"/>
      <c r="GS45" s="298"/>
      <c r="GT45" s="298"/>
      <c r="GU45" s="298"/>
      <c r="GV45" s="298"/>
      <c r="GW45" s="298"/>
      <c r="GX45" s="298"/>
      <c r="GY45" s="298"/>
      <c r="GZ45" s="298"/>
      <c r="HA45" s="298"/>
      <c r="HB45" s="298"/>
      <c r="HC45" s="298"/>
      <c r="HD45" s="298"/>
      <c r="HE45" s="298"/>
      <c r="HF45" s="298"/>
      <c r="HG45" s="298"/>
      <c r="HH45" s="298"/>
      <c r="HI45" s="298"/>
      <c r="HJ45" s="298"/>
      <c r="HK45" s="298"/>
      <c r="HL45" s="298"/>
      <c r="HM45" s="298"/>
      <c r="HN45" s="298"/>
      <c r="HO45" s="298"/>
      <c r="HP45" s="298"/>
      <c r="HQ45" s="298"/>
      <c r="HR45" s="298"/>
      <c r="HS45" s="298"/>
      <c r="HT45" s="298"/>
      <c r="HU45" s="298"/>
      <c r="HV45" s="298"/>
      <c r="HW45" s="298"/>
      <c r="HX45" s="298"/>
      <c r="HY45" s="298"/>
      <c r="HZ45" s="298"/>
      <c r="IA45" s="298"/>
    </row>
    <row r="46" spans="1:235" s="303" customFormat="1">
      <c r="A46" s="298"/>
      <c r="B46" s="299"/>
      <c r="C46" s="299"/>
      <c r="D46" s="299"/>
      <c r="E46" s="300"/>
      <c r="F46" s="300"/>
      <c r="G46" s="300"/>
      <c r="H46" s="301"/>
      <c r="I46" s="302"/>
      <c r="J46" s="300"/>
      <c r="K46" s="301"/>
      <c r="L46" s="302"/>
      <c r="M46" s="300"/>
      <c r="N46" s="301"/>
      <c r="O46" s="300"/>
      <c r="Q46" s="298"/>
      <c r="R46" s="298"/>
      <c r="S46" s="298"/>
      <c r="T46" s="298"/>
      <c r="U46" s="349"/>
      <c r="V46" s="349"/>
      <c r="W46" s="349"/>
      <c r="X46" s="349"/>
      <c r="Y46" s="349"/>
      <c r="Z46" s="348"/>
      <c r="AA46" s="348"/>
      <c r="AB46" s="348"/>
      <c r="AC46" s="349"/>
      <c r="AD46" s="349"/>
      <c r="AE46" s="349"/>
      <c r="AF46" s="298"/>
      <c r="AG46" s="298"/>
      <c r="AH46" s="298"/>
      <c r="AI46" s="298"/>
      <c r="AJ46" s="298"/>
      <c r="AK46" s="298"/>
      <c r="AL46" s="298"/>
      <c r="AM46" s="298"/>
      <c r="AN46" s="298"/>
      <c r="AO46" s="298"/>
      <c r="AP46" s="298"/>
      <c r="AQ46" s="298"/>
      <c r="AR46" s="298"/>
      <c r="AS46" s="298"/>
      <c r="AT46" s="298"/>
      <c r="AU46" s="298"/>
      <c r="AV46" s="298"/>
      <c r="AW46" s="298"/>
      <c r="AX46" s="298"/>
      <c r="AY46" s="298"/>
      <c r="AZ46" s="298"/>
      <c r="BA46" s="298"/>
      <c r="BB46" s="298"/>
      <c r="BC46" s="298"/>
      <c r="BD46" s="298"/>
      <c r="BE46" s="298"/>
      <c r="BF46" s="298"/>
      <c r="BG46" s="298"/>
      <c r="BH46" s="298"/>
      <c r="BI46" s="298"/>
      <c r="BJ46" s="298"/>
      <c r="BK46" s="298"/>
      <c r="BL46" s="298"/>
      <c r="BM46" s="298"/>
      <c r="BN46" s="298"/>
      <c r="BO46" s="298"/>
      <c r="BP46" s="298"/>
      <c r="BQ46" s="298"/>
      <c r="BR46" s="298"/>
      <c r="BS46" s="298"/>
      <c r="BT46" s="298"/>
      <c r="BU46" s="298"/>
      <c r="BV46" s="298"/>
      <c r="BW46" s="298"/>
      <c r="BX46" s="298"/>
      <c r="BY46" s="298"/>
      <c r="BZ46" s="298"/>
      <c r="CA46" s="298"/>
      <c r="CB46" s="298"/>
      <c r="CC46" s="298"/>
      <c r="CD46" s="298"/>
      <c r="CE46" s="298"/>
      <c r="CF46" s="298"/>
      <c r="CG46" s="298"/>
      <c r="CH46" s="298"/>
      <c r="CI46" s="298"/>
      <c r="CJ46" s="298"/>
      <c r="CK46" s="298"/>
      <c r="CL46" s="298"/>
      <c r="CM46" s="298"/>
      <c r="CN46" s="298"/>
      <c r="CO46" s="298"/>
      <c r="CP46" s="298"/>
      <c r="CQ46" s="298"/>
      <c r="CR46" s="298"/>
      <c r="CS46" s="298"/>
      <c r="CT46" s="298"/>
      <c r="CU46" s="298"/>
      <c r="CV46" s="298"/>
      <c r="CW46" s="298"/>
      <c r="CX46" s="298"/>
      <c r="CY46" s="298"/>
      <c r="CZ46" s="298"/>
      <c r="DA46" s="298"/>
      <c r="DB46" s="298"/>
      <c r="DC46" s="298"/>
      <c r="DD46" s="298"/>
      <c r="DE46" s="298"/>
      <c r="DF46" s="298"/>
      <c r="DG46" s="298"/>
      <c r="DH46" s="298"/>
      <c r="DI46" s="298"/>
      <c r="DJ46" s="298"/>
      <c r="DK46" s="298"/>
      <c r="DL46" s="298"/>
      <c r="DM46" s="298"/>
      <c r="DN46" s="298"/>
      <c r="DO46" s="298"/>
      <c r="DP46" s="298"/>
      <c r="DQ46" s="298"/>
      <c r="DR46" s="298"/>
      <c r="DS46" s="298"/>
      <c r="DT46" s="298"/>
      <c r="DU46" s="298"/>
      <c r="DV46" s="298"/>
      <c r="DW46" s="298"/>
      <c r="DX46" s="298"/>
      <c r="DY46" s="298"/>
      <c r="DZ46" s="298"/>
      <c r="EA46" s="298"/>
      <c r="EB46" s="298"/>
      <c r="EC46" s="298"/>
      <c r="ED46" s="298"/>
      <c r="EE46" s="298"/>
      <c r="EF46" s="298"/>
      <c r="EG46" s="298"/>
      <c r="EH46" s="298"/>
      <c r="EI46" s="298"/>
      <c r="EJ46" s="298"/>
      <c r="EK46" s="298"/>
      <c r="EL46" s="298"/>
      <c r="EM46" s="298"/>
      <c r="EN46" s="298"/>
      <c r="EO46" s="298"/>
      <c r="EP46" s="298"/>
      <c r="EQ46" s="298"/>
      <c r="ER46" s="298"/>
      <c r="ES46" s="298"/>
      <c r="ET46" s="298"/>
      <c r="EU46" s="298"/>
      <c r="EV46" s="298"/>
      <c r="EW46" s="298"/>
      <c r="EX46" s="298"/>
      <c r="EY46" s="298"/>
      <c r="EZ46" s="298"/>
      <c r="FA46" s="298"/>
      <c r="FB46" s="298"/>
      <c r="FC46" s="298"/>
      <c r="FD46" s="298"/>
      <c r="FE46" s="298"/>
      <c r="FF46" s="298"/>
      <c r="FG46" s="298"/>
      <c r="FH46" s="298"/>
      <c r="FI46" s="298"/>
      <c r="FJ46" s="298"/>
      <c r="FK46" s="298"/>
      <c r="FL46" s="298"/>
      <c r="FM46" s="298"/>
      <c r="FN46" s="298"/>
      <c r="FO46" s="298"/>
      <c r="FP46" s="298"/>
      <c r="FQ46" s="298"/>
      <c r="FR46" s="298"/>
      <c r="FS46" s="298"/>
      <c r="FT46" s="298"/>
      <c r="FU46" s="298"/>
      <c r="FV46" s="298"/>
      <c r="FW46" s="298"/>
      <c r="FX46" s="298"/>
      <c r="FY46" s="298"/>
      <c r="FZ46" s="298"/>
      <c r="GA46" s="298"/>
      <c r="GB46" s="298"/>
      <c r="GC46" s="298"/>
      <c r="GD46" s="298"/>
      <c r="GE46" s="298"/>
      <c r="GF46" s="298"/>
      <c r="GG46" s="298"/>
      <c r="GH46" s="298"/>
      <c r="GI46" s="298"/>
      <c r="GJ46" s="298"/>
      <c r="GK46" s="298"/>
      <c r="GL46" s="298"/>
      <c r="GM46" s="298"/>
      <c r="GN46" s="298"/>
      <c r="GO46" s="298"/>
      <c r="GP46" s="298"/>
      <c r="GQ46" s="298"/>
      <c r="GR46" s="298"/>
      <c r="GS46" s="298"/>
      <c r="GT46" s="298"/>
      <c r="GU46" s="298"/>
      <c r="GV46" s="298"/>
      <c r="GW46" s="298"/>
      <c r="GX46" s="298"/>
      <c r="GY46" s="298"/>
      <c r="GZ46" s="298"/>
      <c r="HA46" s="298"/>
      <c r="HB46" s="298"/>
      <c r="HC46" s="298"/>
      <c r="HD46" s="298"/>
      <c r="HE46" s="298"/>
      <c r="HF46" s="298"/>
      <c r="HG46" s="298"/>
      <c r="HH46" s="298"/>
      <c r="HI46" s="298"/>
      <c r="HJ46" s="298"/>
      <c r="HK46" s="298"/>
      <c r="HL46" s="298"/>
      <c r="HM46" s="298"/>
      <c r="HN46" s="298"/>
      <c r="HO46" s="298"/>
      <c r="HP46" s="298"/>
      <c r="HQ46" s="298"/>
      <c r="HR46" s="298"/>
      <c r="HS46" s="298"/>
      <c r="HT46" s="298"/>
      <c r="HU46" s="298"/>
      <c r="HV46" s="298"/>
      <c r="HW46" s="298"/>
      <c r="HX46" s="298"/>
      <c r="HY46" s="298"/>
      <c r="HZ46" s="298"/>
      <c r="IA46" s="298"/>
    </row>
    <row r="47" spans="1:235" s="303" customFormat="1">
      <c r="A47" s="298"/>
      <c r="B47" s="299"/>
      <c r="C47" s="299"/>
      <c r="D47" s="299"/>
      <c r="E47" s="300"/>
      <c r="F47" s="300"/>
      <c r="G47" s="300"/>
      <c r="H47" s="301"/>
      <c r="I47" s="302"/>
      <c r="J47" s="300"/>
      <c r="K47" s="301"/>
      <c r="L47" s="302"/>
      <c r="M47" s="300"/>
      <c r="N47" s="301"/>
      <c r="O47" s="300"/>
      <c r="Q47" s="298"/>
      <c r="R47" s="298"/>
      <c r="S47" s="298"/>
      <c r="T47" s="298"/>
      <c r="U47" s="349"/>
      <c r="V47" s="349"/>
      <c r="W47" s="349"/>
      <c r="X47" s="349"/>
      <c r="Y47" s="349"/>
      <c r="Z47" s="348"/>
      <c r="AA47" s="348"/>
      <c r="AB47" s="348"/>
      <c r="AC47" s="349"/>
      <c r="AD47" s="349"/>
      <c r="AE47" s="349"/>
      <c r="AF47" s="298"/>
      <c r="AG47" s="298"/>
      <c r="AH47" s="298"/>
      <c r="AI47" s="298"/>
      <c r="AJ47" s="298"/>
      <c r="AK47" s="298"/>
      <c r="AL47" s="298"/>
      <c r="AM47" s="298"/>
      <c r="AN47" s="298"/>
      <c r="AO47" s="298"/>
      <c r="AP47" s="298"/>
      <c r="AQ47" s="298"/>
      <c r="AR47" s="298"/>
      <c r="AS47" s="298"/>
      <c r="AT47" s="298"/>
      <c r="AU47" s="298"/>
      <c r="AV47" s="298"/>
      <c r="AW47" s="298"/>
      <c r="AX47" s="298"/>
      <c r="AY47" s="298"/>
      <c r="AZ47" s="298"/>
      <c r="BA47" s="298"/>
      <c r="BB47" s="298"/>
      <c r="BC47" s="298"/>
      <c r="BD47" s="298"/>
      <c r="BE47" s="298"/>
      <c r="BF47" s="298"/>
      <c r="BG47" s="298"/>
      <c r="BH47" s="298"/>
      <c r="BI47" s="298"/>
      <c r="BJ47" s="298"/>
      <c r="BK47" s="298"/>
      <c r="BL47" s="298"/>
      <c r="BM47" s="298"/>
      <c r="BN47" s="298"/>
      <c r="BO47" s="298"/>
      <c r="BP47" s="298"/>
      <c r="BQ47" s="298"/>
      <c r="BR47" s="298"/>
      <c r="BS47" s="298"/>
      <c r="BT47" s="298"/>
      <c r="BU47" s="298"/>
      <c r="BV47" s="298"/>
      <c r="BW47" s="298"/>
      <c r="BX47" s="298"/>
      <c r="BY47" s="298"/>
      <c r="BZ47" s="298"/>
      <c r="CA47" s="298"/>
      <c r="CB47" s="298"/>
      <c r="CC47" s="298"/>
      <c r="CD47" s="298"/>
      <c r="CE47" s="298"/>
      <c r="CF47" s="298"/>
      <c r="CG47" s="298"/>
      <c r="CH47" s="298"/>
      <c r="CI47" s="298"/>
      <c r="CJ47" s="298"/>
      <c r="CK47" s="298"/>
      <c r="CL47" s="298"/>
      <c r="CM47" s="298"/>
      <c r="CN47" s="298"/>
      <c r="CO47" s="298"/>
      <c r="CP47" s="298"/>
      <c r="CQ47" s="298"/>
      <c r="CR47" s="298"/>
      <c r="CS47" s="298"/>
      <c r="CT47" s="298"/>
      <c r="CU47" s="298"/>
      <c r="CV47" s="298"/>
      <c r="CW47" s="298"/>
      <c r="CX47" s="298"/>
      <c r="CY47" s="298"/>
      <c r="CZ47" s="298"/>
      <c r="DA47" s="298"/>
      <c r="DB47" s="298"/>
      <c r="DC47" s="298"/>
      <c r="DD47" s="298"/>
      <c r="DE47" s="298"/>
      <c r="DF47" s="298"/>
      <c r="DG47" s="298"/>
      <c r="DH47" s="298"/>
      <c r="DI47" s="298"/>
      <c r="DJ47" s="298"/>
      <c r="DK47" s="298"/>
      <c r="DL47" s="298"/>
      <c r="DM47" s="298"/>
      <c r="DN47" s="298"/>
      <c r="DO47" s="298"/>
      <c r="DP47" s="298"/>
      <c r="DQ47" s="298"/>
      <c r="DR47" s="298"/>
      <c r="DS47" s="298"/>
      <c r="DT47" s="298"/>
      <c r="DU47" s="298"/>
      <c r="DV47" s="298"/>
      <c r="DW47" s="298"/>
      <c r="DX47" s="298"/>
      <c r="DY47" s="298"/>
      <c r="DZ47" s="298"/>
      <c r="EA47" s="298"/>
      <c r="EB47" s="298"/>
      <c r="EC47" s="298"/>
      <c r="ED47" s="298"/>
      <c r="EE47" s="298"/>
      <c r="EF47" s="298"/>
      <c r="EG47" s="298"/>
      <c r="EH47" s="298"/>
      <c r="EI47" s="298"/>
      <c r="EJ47" s="298"/>
      <c r="EK47" s="298"/>
      <c r="EL47" s="298"/>
      <c r="EM47" s="298"/>
      <c r="EN47" s="298"/>
      <c r="EO47" s="298"/>
      <c r="EP47" s="298"/>
      <c r="EQ47" s="298"/>
      <c r="ER47" s="298"/>
      <c r="ES47" s="298"/>
      <c r="ET47" s="298"/>
      <c r="EU47" s="298"/>
      <c r="EV47" s="298"/>
      <c r="EW47" s="298"/>
      <c r="EX47" s="298"/>
      <c r="EY47" s="298"/>
      <c r="EZ47" s="298"/>
      <c r="FA47" s="298"/>
      <c r="FB47" s="298"/>
      <c r="FC47" s="298"/>
      <c r="FD47" s="298"/>
      <c r="FE47" s="298"/>
      <c r="FF47" s="298"/>
      <c r="FG47" s="298"/>
      <c r="FH47" s="298"/>
      <c r="FI47" s="298"/>
      <c r="FJ47" s="298"/>
      <c r="FK47" s="298"/>
      <c r="FL47" s="298"/>
      <c r="FM47" s="298"/>
      <c r="FN47" s="298"/>
      <c r="FO47" s="298"/>
      <c r="FP47" s="298"/>
      <c r="FQ47" s="298"/>
      <c r="FR47" s="298"/>
      <c r="FS47" s="298"/>
      <c r="FT47" s="298"/>
      <c r="FU47" s="298"/>
      <c r="FV47" s="298"/>
      <c r="FW47" s="298"/>
      <c r="FX47" s="298"/>
      <c r="FY47" s="298"/>
      <c r="FZ47" s="298"/>
      <c r="GA47" s="298"/>
      <c r="GB47" s="298"/>
      <c r="GC47" s="298"/>
      <c r="GD47" s="298"/>
      <c r="GE47" s="298"/>
      <c r="GF47" s="298"/>
      <c r="GG47" s="298"/>
      <c r="GH47" s="298"/>
      <c r="GI47" s="298"/>
      <c r="GJ47" s="298"/>
      <c r="GK47" s="298"/>
      <c r="GL47" s="298"/>
      <c r="GM47" s="298"/>
      <c r="GN47" s="298"/>
      <c r="GO47" s="298"/>
      <c r="GP47" s="298"/>
      <c r="GQ47" s="298"/>
      <c r="GR47" s="298"/>
      <c r="GS47" s="298"/>
      <c r="GT47" s="298"/>
      <c r="GU47" s="298"/>
      <c r="GV47" s="298"/>
      <c r="GW47" s="298"/>
      <c r="GX47" s="298"/>
      <c r="GY47" s="298"/>
      <c r="GZ47" s="298"/>
      <c r="HA47" s="298"/>
      <c r="HB47" s="298"/>
      <c r="HC47" s="298"/>
      <c r="HD47" s="298"/>
      <c r="HE47" s="298"/>
      <c r="HF47" s="298"/>
      <c r="HG47" s="298"/>
      <c r="HH47" s="298"/>
      <c r="HI47" s="298"/>
      <c r="HJ47" s="298"/>
      <c r="HK47" s="298"/>
      <c r="HL47" s="298"/>
      <c r="HM47" s="298"/>
      <c r="HN47" s="298"/>
      <c r="HO47" s="298"/>
      <c r="HP47" s="298"/>
      <c r="HQ47" s="298"/>
      <c r="HR47" s="298"/>
      <c r="HS47" s="298"/>
      <c r="HT47" s="298"/>
      <c r="HU47" s="298"/>
      <c r="HV47" s="298"/>
      <c r="HW47" s="298"/>
      <c r="HX47" s="298"/>
      <c r="HY47" s="298"/>
      <c r="HZ47" s="298"/>
      <c r="IA47" s="298"/>
    </row>
    <row r="48" spans="1:235" s="303" customFormat="1">
      <c r="A48" s="298"/>
      <c r="B48" s="299"/>
      <c r="C48" s="299"/>
      <c r="D48" s="299"/>
      <c r="E48" s="300"/>
      <c r="F48" s="300"/>
      <c r="G48" s="300"/>
      <c r="H48" s="301"/>
      <c r="I48" s="302"/>
      <c r="J48" s="300"/>
      <c r="K48" s="301"/>
      <c r="L48" s="302"/>
      <c r="M48" s="300"/>
      <c r="N48" s="301"/>
      <c r="O48" s="300"/>
      <c r="Q48" s="298"/>
      <c r="R48" s="298"/>
      <c r="S48" s="298"/>
      <c r="T48" s="298"/>
      <c r="U48" s="349"/>
      <c r="V48" s="349"/>
      <c r="W48" s="349"/>
      <c r="X48" s="349"/>
      <c r="Y48" s="349"/>
      <c r="Z48" s="348"/>
      <c r="AA48" s="348"/>
      <c r="AB48" s="348"/>
      <c r="AC48" s="349"/>
      <c r="AD48" s="349"/>
      <c r="AE48" s="349"/>
      <c r="AF48" s="298"/>
      <c r="AG48" s="298"/>
      <c r="AH48" s="298"/>
      <c r="AI48" s="298"/>
      <c r="AJ48" s="298"/>
      <c r="AK48" s="298"/>
      <c r="AL48" s="298"/>
      <c r="AM48" s="298"/>
      <c r="AN48" s="298"/>
      <c r="AO48" s="298"/>
      <c r="AP48" s="298"/>
      <c r="AQ48" s="298"/>
      <c r="AR48" s="298"/>
      <c r="AS48" s="298"/>
      <c r="AT48" s="298"/>
      <c r="AU48" s="298"/>
      <c r="AV48" s="298"/>
      <c r="AW48" s="298"/>
      <c r="AX48" s="298"/>
      <c r="AY48" s="298"/>
      <c r="AZ48" s="298"/>
      <c r="BA48" s="298"/>
      <c r="BB48" s="298"/>
      <c r="BC48" s="298"/>
      <c r="BD48" s="298"/>
      <c r="BE48" s="298"/>
      <c r="BF48" s="298"/>
      <c r="BG48" s="298"/>
      <c r="BH48" s="298"/>
      <c r="BI48" s="298"/>
      <c r="BJ48" s="298"/>
      <c r="BK48" s="298"/>
      <c r="BL48" s="298"/>
      <c r="BM48" s="298"/>
      <c r="BN48" s="298"/>
      <c r="BO48" s="298"/>
      <c r="BP48" s="298"/>
      <c r="BQ48" s="298"/>
      <c r="BR48" s="298"/>
      <c r="BS48" s="298"/>
      <c r="BT48" s="298"/>
      <c r="BU48" s="298"/>
      <c r="BV48" s="298"/>
      <c r="BW48" s="298"/>
      <c r="BX48" s="298"/>
      <c r="BY48" s="298"/>
      <c r="BZ48" s="298"/>
      <c r="CA48" s="298"/>
      <c r="CB48" s="298"/>
      <c r="CC48" s="298"/>
      <c r="CD48" s="298"/>
      <c r="CE48" s="298"/>
      <c r="CF48" s="298"/>
      <c r="CG48" s="298"/>
      <c r="CH48" s="298"/>
      <c r="CI48" s="298"/>
      <c r="CJ48" s="298"/>
      <c r="CK48" s="298"/>
      <c r="CL48" s="298"/>
      <c r="CM48" s="298"/>
      <c r="CN48" s="298"/>
      <c r="CO48" s="298"/>
      <c r="CP48" s="298"/>
      <c r="CQ48" s="298"/>
      <c r="CR48" s="298"/>
      <c r="CS48" s="298"/>
      <c r="CT48" s="298"/>
      <c r="CU48" s="298"/>
      <c r="CV48" s="298"/>
      <c r="CW48" s="298"/>
      <c r="CX48" s="298"/>
      <c r="CY48" s="298"/>
      <c r="CZ48" s="298"/>
      <c r="DA48" s="298"/>
      <c r="DB48" s="298"/>
      <c r="DC48" s="298"/>
      <c r="DD48" s="298"/>
      <c r="DE48" s="298"/>
      <c r="DF48" s="298"/>
      <c r="DG48" s="298"/>
      <c r="DH48" s="298"/>
      <c r="DI48" s="298"/>
      <c r="DJ48" s="298"/>
      <c r="DK48" s="298"/>
      <c r="DL48" s="298"/>
      <c r="DM48" s="298"/>
      <c r="DN48" s="298"/>
      <c r="DO48" s="298"/>
      <c r="DP48" s="298"/>
      <c r="DQ48" s="298"/>
      <c r="DR48" s="298"/>
      <c r="DS48" s="298"/>
      <c r="DT48" s="298"/>
      <c r="DU48" s="298"/>
      <c r="DV48" s="298"/>
      <c r="DW48" s="298"/>
      <c r="DX48" s="298"/>
      <c r="DY48" s="298"/>
      <c r="DZ48" s="298"/>
      <c r="EA48" s="298"/>
      <c r="EB48" s="298"/>
      <c r="EC48" s="298"/>
      <c r="ED48" s="298"/>
      <c r="EE48" s="298"/>
      <c r="EF48" s="298"/>
      <c r="EG48" s="298"/>
      <c r="EH48" s="298"/>
      <c r="EI48" s="298"/>
      <c r="EJ48" s="298"/>
      <c r="EK48" s="298"/>
      <c r="EL48" s="298"/>
      <c r="EM48" s="298"/>
      <c r="EN48" s="298"/>
      <c r="EO48" s="298"/>
      <c r="EP48" s="298"/>
      <c r="EQ48" s="298"/>
      <c r="ER48" s="298"/>
      <c r="ES48" s="298"/>
      <c r="ET48" s="298"/>
      <c r="EU48" s="298"/>
      <c r="EV48" s="298"/>
      <c r="EW48" s="298"/>
      <c r="EX48" s="298"/>
      <c r="EY48" s="298"/>
      <c r="EZ48" s="298"/>
      <c r="FA48" s="298"/>
      <c r="FB48" s="298"/>
      <c r="FC48" s="298"/>
      <c r="FD48" s="298"/>
      <c r="FE48" s="298"/>
      <c r="FF48" s="298"/>
      <c r="FG48" s="298"/>
      <c r="FH48" s="298"/>
      <c r="FI48" s="298"/>
      <c r="FJ48" s="298"/>
      <c r="FK48" s="298"/>
      <c r="FL48" s="298"/>
      <c r="FM48" s="298"/>
      <c r="FN48" s="298"/>
      <c r="FO48" s="298"/>
      <c r="FP48" s="298"/>
      <c r="FQ48" s="298"/>
      <c r="FR48" s="298"/>
      <c r="FS48" s="298"/>
      <c r="FT48" s="298"/>
      <c r="FU48" s="298"/>
      <c r="FV48" s="298"/>
      <c r="FW48" s="298"/>
      <c r="FX48" s="298"/>
      <c r="FY48" s="298"/>
      <c r="FZ48" s="298"/>
      <c r="GA48" s="298"/>
      <c r="GB48" s="298"/>
      <c r="GC48" s="298"/>
      <c r="GD48" s="298"/>
      <c r="GE48" s="298"/>
      <c r="GF48" s="298"/>
      <c r="GG48" s="298"/>
      <c r="GH48" s="298"/>
      <c r="GI48" s="298"/>
      <c r="GJ48" s="298"/>
      <c r="GK48" s="298"/>
      <c r="GL48" s="298"/>
      <c r="GM48" s="298"/>
      <c r="GN48" s="298"/>
      <c r="GO48" s="298"/>
      <c r="GP48" s="298"/>
      <c r="GQ48" s="298"/>
      <c r="GR48" s="298"/>
      <c r="GS48" s="298"/>
      <c r="GT48" s="298"/>
      <c r="GU48" s="298"/>
      <c r="GV48" s="298"/>
      <c r="GW48" s="298"/>
      <c r="GX48" s="298"/>
      <c r="GY48" s="298"/>
      <c r="GZ48" s="298"/>
      <c r="HA48" s="298"/>
      <c r="HB48" s="298"/>
      <c r="HC48" s="298"/>
      <c r="HD48" s="298"/>
      <c r="HE48" s="298"/>
      <c r="HF48" s="298"/>
      <c r="HG48" s="298"/>
      <c r="HH48" s="298"/>
      <c r="HI48" s="298"/>
      <c r="HJ48" s="298"/>
      <c r="HK48" s="298"/>
      <c r="HL48" s="298"/>
      <c r="HM48" s="298"/>
      <c r="HN48" s="298"/>
      <c r="HO48" s="298"/>
      <c r="HP48" s="298"/>
      <c r="HQ48" s="298"/>
      <c r="HR48" s="298"/>
      <c r="HS48" s="298"/>
      <c r="HT48" s="298"/>
      <c r="HU48" s="298"/>
      <c r="HV48" s="298"/>
      <c r="HW48" s="298"/>
      <c r="HX48" s="298"/>
      <c r="HY48" s="298"/>
      <c r="HZ48" s="298"/>
      <c r="IA48" s="298"/>
    </row>
    <row r="49" spans="1:235" s="303" customFormat="1">
      <c r="A49" s="298"/>
      <c r="B49" s="299"/>
      <c r="C49" s="299"/>
      <c r="D49" s="299"/>
      <c r="E49" s="300"/>
      <c r="F49" s="300"/>
      <c r="G49" s="300"/>
      <c r="H49" s="301"/>
      <c r="I49" s="302"/>
      <c r="J49" s="300"/>
      <c r="K49" s="301"/>
      <c r="L49" s="302"/>
      <c r="M49" s="300"/>
      <c r="N49" s="301"/>
      <c r="O49" s="300"/>
      <c r="Q49" s="298"/>
      <c r="R49" s="298"/>
      <c r="S49" s="298"/>
      <c r="T49" s="298"/>
      <c r="U49" s="349"/>
      <c r="V49" s="349"/>
      <c r="W49" s="349"/>
      <c r="X49" s="349"/>
      <c r="Y49" s="349"/>
      <c r="Z49" s="348"/>
      <c r="AA49" s="348"/>
      <c r="AB49" s="348"/>
      <c r="AC49" s="349"/>
      <c r="AD49" s="349"/>
      <c r="AE49" s="349"/>
      <c r="AF49" s="298"/>
      <c r="AG49" s="298"/>
      <c r="AH49" s="298"/>
      <c r="AI49" s="298"/>
      <c r="AJ49" s="298"/>
      <c r="AK49" s="298"/>
      <c r="AL49" s="298"/>
      <c r="AM49" s="298"/>
      <c r="AN49" s="298"/>
      <c r="AO49" s="298"/>
      <c r="AP49" s="298"/>
      <c r="AQ49" s="298"/>
      <c r="AR49" s="298"/>
      <c r="AS49" s="298"/>
      <c r="AT49" s="298"/>
      <c r="AU49" s="298"/>
      <c r="AV49" s="298"/>
      <c r="AW49" s="298"/>
      <c r="AX49" s="298"/>
      <c r="AY49" s="298"/>
      <c r="AZ49" s="298"/>
      <c r="BA49" s="298"/>
      <c r="BB49" s="298"/>
      <c r="BC49" s="298"/>
      <c r="BD49" s="298"/>
      <c r="BE49" s="298"/>
      <c r="BF49" s="298"/>
      <c r="BG49" s="298"/>
      <c r="BH49" s="298"/>
      <c r="BI49" s="298"/>
      <c r="BJ49" s="298"/>
      <c r="BK49" s="298"/>
      <c r="BL49" s="298"/>
      <c r="BM49" s="298"/>
      <c r="BN49" s="298"/>
      <c r="BO49" s="298"/>
      <c r="BP49" s="298"/>
      <c r="BQ49" s="298"/>
      <c r="BR49" s="298"/>
      <c r="BS49" s="298"/>
      <c r="BT49" s="298"/>
      <c r="BU49" s="298"/>
      <c r="BV49" s="298"/>
      <c r="BW49" s="298"/>
      <c r="BX49" s="298"/>
      <c r="BY49" s="298"/>
      <c r="BZ49" s="298"/>
      <c r="CA49" s="298"/>
      <c r="CB49" s="298"/>
      <c r="CC49" s="298"/>
      <c r="CD49" s="298"/>
      <c r="CE49" s="298"/>
      <c r="CF49" s="298"/>
      <c r="CG49" s="298"/>
      <c r="CH49" s="298"/>
      <c r="CI49" s="298"/>
      <c r="CJ49" s="298"/>
      <c r="CK49" s="298"/>
      <c r="CL49" s="298"/>
      <c r="CM49" s="298"/>
      <c r="CN49" s="298"/>
      <c r="CO49" s="298"/>
      <c r="CP49" s="298"/>
      <c r="CQ49" s="298"/>
      <c r="CR49" s="298"/>
      <c r="CS49" s="298"/>
      <c r="CT49" s="298"/>
      <c r="CU49" s="298"/>
      <c r="CV49" s="298"/>
      <c r="CW49" s="298"/>
      <c r="CX49" s="298"/>
      <c r="CY49" s="298"/>
      <c r="CZ49" s="298"/>
      <c r="DA49" s="298"/>
      <c r="DB49" s="298"/>
      <c r="DC49" s="298"/>
      <c r="DD49" s="298"/>
      <c r="DE49" s="298"/>
      <c r="DF49" s="298"/>
      <c r="DG49" s="298"/>
      <c r="DH49" s="298"/>
      <c r="DI49" s="298"/>
      <c r="DJ49" s="298"/>
      <c r="DK49" s="298"/>
      <c r="DL49" s="298"/>
      <c r="DM49" s="298"/>
      <c r="DN49" s="298"/>
      <c r="DO49" s="298"/>
      <c r="DP49" s="298"/>
      <c r="DQ49" s="298"/>
      <c r="DR49" s="298"/>
      <c r="DS49" s="298"/>
      <c r="DT49" s="298"/>
      <c r="DU49" s="298"/>
      <c r="DV49" s="298"/>
      <c r="DW49" s="298"/>
      <c r="DX49" s="298"/>
      <c r="DY49" s="298"/>
      <c r="DZ49" s="298"/>
      <c r="EA49" s="298"/>
      <c r="EB49" s="298"/>
      <c r="EC49" s="298"/>
      <c r="ED49" s="298"/>
      <c r="EE49" s="298"/>
      <c r="EF49" s="298"/>
      <c r="EG49" s="298"/>
      <c r="EH49" s="298"/>
      <c r="EI49" s="298"/>
      <c r="EJ49" s="298"/>
      <c r="EK49" s="298"/>
      <c r="EL49" s="298"/>
      <c r="EM49" s="298"/>
      <c r="EN49" s="298"/>
      <c r="EO49" s="298"/>
      <c r="EP49" s="298"/>
      <c r="EQ49" s="298"/>
      <c r="ER49" s="298"/>
      <c r="ES49" s="298"/>
      <c r="ET49" s="298"/>
      <c r="EU49" s="298"/>
      <c r="EV49" s="298"/>
      <c r="EW49" s="298"/>
      <c r="EX49" s="298"/>
      <c r="EY49" s="298"/>
      <c r="EZ49" s="298"/>
      <c r="FA49" s="298"/>
      <c r="FB49" s="298"/>
      <c r="FC49" s="298"/>
      <c r="FD49" s="298"/>
      <c r="FE49" s="298"/>
      <c r="FF49" s="298"/>
      <c r="FG49" s="298"/>
      <c r="FH49" s="298"/>
      <c r="FI49" s="298"/>
      <c r="FJ49" s="298"/>
      <c r="FK49" s="298"/>
      <c r="FL49" s="298"/>
      <c r="FM49" s="298"/>
      <c r="FN49" s="298"/>
      <c r="FO49" s="298"/>
      <c r="FP49" s="298"/>
      <c r="FQ49" s="298"/>
      <c r="FR49" s="298"/>
      <c r="FS49" s="298"/>
      <c r="FT49" s="298"/>
      <c r="FU49" s="298"/>
      <c r="FV49" s="298"/>
      <c r="FW49" s="298"/>
      <c r="FX49" s="298"/>
      <c r="FY49" s="298"/>
      <c r="FZ49" s="298"/>
      <c r="GA49" s="298"/>
      <c r="GB49" s="298"/>
      <c r="GC49" s="298"/>
      <c r="GD49" s="298"/>
      <c r="GE49" s="298"/>
      <c r="GF49" s="298"/>
      <c r="GG49" s="298"/>
      <c r="GH49" s="298"/>
      <c r="GI49" s="298"/>
      <c r="GJ49" s="298"/>
      <c r="GK49" s="298"/>
      <c r="GL49" s="298"/>
      <c r="GM49" s="298"/>
      <c r="GN49" s="298"/>
      <c r="GO49" s="298"/>
      <c r="GP49" s="298"/>
      <c r="GQ49" s="298"/>
      <c r="GR49" s="298"/>
      <c r="GS49" s="298"/>
      <c r="GT49" s="298"/>
      <c r="GU49" s="298"/>
      <c r="GV49" s="298"/>
      <c r="GW49" s="298"/>
      <c r="GX49" s="298"/>
      <c r="GY49" s="298"/>
      <c r="GZ49" s="298"/>
      <c r="HA49" s="298"/>
      <c r="HB49" s="298"/>
      <c r="HC49" s="298"/>
      <c r="HD49" s="298"/>
      <c r="HE49" s="298"/>
      <c r="HF49" s="298"/>
      <c r="HG49" s="298"/>
      <c r="HH49" s="298"/>
      <c r="HI49" s="298"/>
      <c r="HJ49" s="298"/>
      <c r="HK49" s="298"/>
      <c r="HL49" s="298"/>
      <c r="HM49" s="298"/>
      <c r="HN49" s="298"/>
      <c r="HO49" s="298"/>
      <c r="HP49" s="298"/>
      <c r="HQ49" s="298"/>
      <c r="HR49" s="298"/>
      <c r="HS49" s="298"/>
      <c r="HT49" s="298"/>
      <c r="HU49" s="298"/>
      <c r="HV49" s="298"/>
      <c r="HW49" s="298"/>
      <c r="HX49" s="298"/>
      <c r="HY49" s="298"/>
      <c r="HZ49" s="298"/>
      <c r="IA49" s="298"/>
    </row>
    <row r="50" spans="1:235">
      <c r="C50" s="299"/>
      <c r="D50" s="299"/>
    </row>
    <row r="51" spans="1:235">
      <c r="C51" s="299"/>
      <c r="D51" s="299"/>
    </row>
    <row r="52" spans="1:235">
      <c r="C52" s="299"/>
      <c r="D52" s="299"/>
    </row>
    <row r="53" spans="1:235">
      <c r="C53" s="299"/>
      <c r="D53" s="299"/>
    </row>
    <row r="54" spans="1:235">
      <c r="C54" s="299"/>
      <c r="D54" s="299"/>
    </row>
    <row r="55" spans="1:235">
      <c r="C55" s="299"/>
      <c r="D55" s="299"/>
    </row>
    <row r="56" spans="1:235">
      <c r="C56" s="299"/>
      <c r="D56" s="299"/>
    </row>
  </sheetData>
  <mergeCells count="1">
    <mergeCell ref="B4:D4"/>
  </mergeCells>
  <printOptions horizontalCentered="1"/>
  <pageMargins left="0.19685039370078741" right="0.19685039370078741" top="0.74803149606299213" bottom="0.59055118110236227" header="0.23622047244094491" footer="0.15748031496062992"/>
  <pageSetup paperSize="9" scale="78" fitToHeight="0" orientation="landscape" r:id="rId1"/>
  <headerFooter alignWithMargins="0">
    <oddFooter>&amp;L&amp;F&amp;R&amp;G</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theme="4" tint="-0.249977111117893"/>
  </sheetPr>
  <dimension ref="A1:AB127"/>
  <sheetViews>
    <sheetView zoomScaleNormal="100" zoomScaleSheetLayoutView="130" workbookViewId="0">
      <selection activeCell="C2" sqref="C2:D11"/>
    </sheetView>
  </sheetViews>
  <sheetFormatPr defaultRowHeight="15"/>
  <cols>
    <col min="1" max="1" width="5" customWidth="1"/>
    <col min="2" max="2" width="3.28515625" customWidth="1"/>
    <col min="3" max="3" width="6.42578125" customWidth="1"/>
    <col min="4" max="4" width="17.7109375" customWidth="1"/>
    <col min="5" max="5" width="14.42578125" customWidth="1"/>
    <col min="6" max="11" width="6" customWidth="1"/>
    <col min="12" max="12" width="10.140625" style="4" customWidth="1"/>
    <col min="13" max="13" width="6.42578125" bestFit="1" customWidth="1"/>
    <col min="14" max="14" width="10.85546875" customWidth="1"/>
    <col min="15" max="15" width="10.28515625" style="38" customWidth="1"/>
    <col min="16" max="16" width="14.7109375" style="38" customWidth="1"/>
    <col min="17" max="17" width="25.140625" style="38" customWidth="1"/>
    <col min="18" max="18" width="21.7109375" style="38" customWidth="1"/>
    <col min="19" max="19" width="17.140625" customWidth="1"/>
    <col min="20" max="20" width="11.85546875" customWidth="1"/>
    <col min="22" max="22" width="27.28515625" bestFit="1" customWidth="1"/>
    <col min="23" max="23" width="10.140625" style="4" bestFit="1" customWidth="1"/>
  </cols>
  <sheetData>
    <row r="1" spans="2:10">
      <c r="B1" s="77"/>
      <c r="C1" s="78" t="s">
        <v>207</v>
      </c>
      <c r="D1" s="77" t="s">
        <v>208</v>
      </c>
    </row>
    <row r="2" spans="2:10">
      <c r="B2" s="80">
        <v>1</v>
      </c>
      <c r="C2" s="79"/>
      <c r="D2" s="141"/>
    </row>
    <row r="3" spans="2:10">
      <c r="B3" s="80">
        <v>2</v>
      </c>
      <c r="C3" s="79"/>
      <c r="D3" s="141"/>
    </row>
    <row r="4" spans="2:10">
      <c r="B4" s="80">
        <v>3</v>
      </c>
      <c r="C4" s="79"/>
      <c r="D4" s="141"/>
    </row>
    <row r="5" spans="2:10">
      <c r="B5" s="80">
        <v>4</v>
      </c>
      <c r="C5" s="79"/>
      <c r="D5" s="141"/>
      <c r="J5" s="175"/>
    </row>
    <row r="6" spans="2:10">
      <c r="B6" s="80">
        <v>5</v>
      </c>
      <c r="C6" s="79"/>
      <c r="D6" s="141"/>
    </row>
    <row r="7" spans="2:10">
      <c r="B7" s="80">
        <v>6</v>
      </c>
      <c r="C7" s="79"/>
      <c r="D7" s="141"/>
    </row>
    <row r="8" spans="2:10">
      <c r="B8" s="80">
        <v>7</v>
      </c>
      <c r="C8" s="79"/>
      <c r="D8" s="141"/>
    </row>
    <row r="9" spans="2:10">
      <c r="B9" s="80">
        <v>8</v>
      </c>
      <c r="C9" s="79"/>
      <c r="D9" s="141"/>
    </row>
    <row r="10" spans="2:10">
      <c r="B10" s="80">
        <v>9</v>
      </c>
      <c r="C10" s="79"/>
      <c r="D10" s="141"/>
    </row>
    <row r="11" spans="2:10">
      <c r="B11" s="80">
        <v>10</v>
      </c>
      <c r="C11" s="79"/>
      <c r="D11" s="141"/>
    </row>
    <row r="12" spans="2:10">
      <c r="B12" s="77"/>
      <c r="C12" s="77"/>
      <c r="D12" s="505">
        <f>SUM(D2:D11)</f>
        <v>0</v>
      </c>
    </row>
    <row r="14" spans="2:10" ht="21">
      <c r="B14" s="513" t="s">
        <v>434</v>
      </c>
      <c r="C14" s="518"/>
      <c r="D14" s="518"/>
      <c r="E14" s="518"/>
    </row>
    <row r="16" spans="2:10" ht="18.75">
      <c r="B16" s="358" t="s">
        <v>330</v>
      </c>
    </row>
    <row r="18" spans="1:28">
      <c r="B18" t="s">
        <v>294</v>
      </c>
    </row>
    <row r="19" spans="1:28" ht="15.75" customHeight="1"/>
    <row r="20" spans="1:28">
      <c r="A20" s="38"/>
      <c r="B20" s="214">
        <v>1</v>
      </c>
      <c r="C20" s="214" t="s">
        <v>0</v>
      </c>
      <c r="D20" s="38"/>
      <c r="E20" s="38"/>
      <c r="F20" s="38"/>
      <c r="G20" s="38"/>
      <c r="H20" s="38"/>
      <c r="I20" s="38"/>
      <c r="J20" s="38"/>
      <c r="K20" s="38"/>
      <c r="L20" s="22"/>
      <c r="M20" s="38"/>
      <c r="O20" s="126" t="s">
        <v>697</v>
      </c>
      <c r="P20" s="126"/>
      <c r="Q20" s="126"/>
      <c r="R20" s="126"/>
      <c r="S20" s="51"/>
    </row>
    <row r="21" spans="1:28" ht="62.25" customHeight="1">
      <c r="A21" s="38"/>
      <c r="B21" s="372"/>
      <c r="C21" s="565" t="s">
        <v>648</v>
      </c>
      <c r="D21" s="565"/>
      <c r="E21" s="565"/>
      <c r="F21" s="565"/>
      <c r="G21" s="565"/>
      <c r="H21" s="565"/>
      <c r="I21" s="565"/>
      <c r="J21" s="565"/>
      <c r="K21" s="565"/>
      <c r="L21" s="565"/>
      <c r="M21" s="565"/>
      <c r="N21" s="48"/>
      <c r="O21" s="51"/>
      <c r="P21" s="51"/>
      <c r="Q21" s="51"/>
      <c r="R21" s="51"/>
      <c r="S21" s="51"/>
    </row>
    <row r="22" spans="1:28">
      <c r="C22" s="5"/>
      <c r="D22" s="5"/>
      <c r="E22" s="5"/>
      <c r="F22" s="5"/>
      <c r="G22" s="5"/>
      <c r="H22" s="5"/>
      <c r="I22" s="5"/>
      <c r="J22" s="5"/>
      <c r="K22" s="5"/>
      <c r="L22" s="6"/>
      <c r="M22" s="5"/>
      <c r="N22" s="48"/>
      <c r="O22" s="51"/>
      <c r="P22" s="51"/>
      <c r="Q22" s="130"/>
      <c r="R22" s="130"/>
      <c r="S22" s="51"/>
    </row>
    <row r="23" spans="1:28">
      <c r="C23" s="38" t="s">
        <v>1</v>
      </c>
      <c r="D23" s="22">
        <v>100000</v>
      </c>
      <c r="E23" s="22"/>
      <c r="F23" s="38"/>
      <c r="G23" s="38"/>
      <c r="H23" s="38"/>
      <c r="I23" s="38"/>
      <c r="J23" s="38"/>
      <c r="K23" s="38"/>
      <c r="L23" s="22"/>
      <c r="M23" s="38"/>
      <c r="O23" s="51"/>
      <c r="P23" s="51"/>
      <c r="Q23" s="130"/>
      <c r="R23" s="130"/>
      <c r="S23" s="51"/>
    </row>
    <row r="24" spans="1:28">
      <c r="C24" s="38" t="s">
        <v>2</v>
      </c>
      <c r="D24" s="22">
        <v>1400000</v>
      </c>
      <c r="E24" s="22"/>
      <c r="F24" s="38"/>
      <c r="G24" s="38"/>
      <c r="H24" s="38"/>
      <c r="I24" s="38"/>
      <c r="J24" s="38"/>
      <c r="K24" s="38"/>
      <c r="L24" s="22"/>
      <c r="M24" s="38"/>
      <c r="O24" s="51"/>
      <c r="P24" s="51"/>
      <c r="Q24" s="130"/>
      <c r="R24" s="130"/>
      <c r="S24" s="51"/>
    </row>
    <row r="25" spans="1:28">
      <c r="C25" s="38" t="s">
        <v>3</v>
      </c>
      <c r="D25" s="22">
        <v>1500000</v>
      </c>
      <c r="E25" s="22"/>
      <c r="F25" s="38"/>
      <c r="G25" s="38"/>
      <c r="H25" s="38"/>
      <c r="I25" s="38"/>
      <c r="J25" s="38"/>
      <c r="K25" s="38"/>
      <c r="L25" s="22"/>
      <c r="M25" s="38"/>
      <c r="O25" s="51"/>
      <c r="P25" s="51"/>
      <c r="Q25" s="130"/>
      <c r="R25" s="130"/>
      <c r="S25" s="51"/>
    </row>
    <row r="26" spans="1:28">
      <c r="C26" s="38" t="s">
        <v>4</v>
      </c>
      <c r="D26" s="22">
        <v>0</v>
      </c>
      <c r="E26" s="38"/>
      <c r="F26" s="38"/>
      <c r="G26" s="38"/>
      <c r="H26" s="38"/>
      <c r="I26" s="38"/>
      <c r="J26" s="38"/>
      <c r="K26" s="38"/>
      <c r="L26" s="22"/>
      <c r="M26" s="38"/>
      <c r="O26" s="51"/>
      <c r="P26" s="51"/>
      <c r="Q26" s="130"/>
      <c r="R26" s="130"/>
      <c r="S26" s="51"/>
    </row>
    <row r="27" spans="1:28">
      <c r="C27" s="38" t="s">
        <v>5</v>
      </c>
      <c r="D27" s="38" t="s">
        <v>6</v>
      </c>
      <c r="E27" s="38"/>
      <c r="F27" s="38"/>
      <c r="G27" s="38"/>
      <c r="H27" s="38"/>
      <c r="I27" s="38"/>
      <c r="J27" s="22"/>
      <c r="K27" s="38"/>
      <c r="L27" s="22"/>
      <c r="M27" s="38"/>
      <c r="O27" s="51"/>
      <c r="P27" s="51"/>
      <c r="Q27" s="51"/>
      <c r="R27" s="51"/>
      <c r="S27" s="51"/>
    </row>
    <row r="28" spans="1:28">
      <c r="C28" s="38"/>
      <c r="D28" s="38"/>
      <c r="E28" s="38"/>
      <c r="F28" s="38"/>
      <c r="G28" s="38"/>
      <c r="H28" s="38"/>
      <c r="I28" s="38"/>
      <c r="J28" s="22"/>
      <c r="K28" s="38"/>
      <c r="L28" s="22"/>
      <c r="M28" s="38"/>
      <c r="O28" s="51"/>
      <c r="P28" s="51"/>
      <c r="Q28" s="51"/>
      <c r="R28" s="130"/>
      <c r="S28" s="51"/>
    </row>
    <row r="29" spans="1:28">
      <c r="B29" s="214">
        <v>2</v>
      </c>
      <c r="C29" s="214" t="s">
        <v>290</v>
      </c>
      <c r="D29" s="38"/>
      <c r="E29" s="38"/>
      <c r="F29" s="38"/>
      <c r="G29" s="38"/>
      <c r="H29" s="38"/>
      <c r="I29" s="38"/>
      <c r="J29" s="38"/>
      <c r="K29" s="38"/>
      <c r="L29" s="22"/>
      <c r="M29" s="38"/>
      <c r="O29" s="51"/>
      <c r="P29" s="51"/>
      <c r="Q29" s="51"/>
      <c r="R29" s="51"/>
      <c r="S29" s="51"/>
    </row>
    <row r="30" spans="1:28">
      <c r="B30" s="38"/>
      <c r="C30" s="565" t="s">
        <v>649</v>
      </c>
      <c r="D30" s="565"/>
      <c r="E30" s="565"/>
      <c r="F30" s="565"/>
      <c r="G30" s="565"/>
      <c r="H30" s="565"/>
      <c r="I30" s="565"/>
      <c r="J30" s="565"/>
      <c r="K30" s="565"/>
      <c r="L30" s="565"/>
      <c r="M30" s="565"/>
      <c r="N30" s="48"/>
      <c r="O30" s="51"/>
      <c r="P30" s="51"/>
      <c r="Q30" s="51"/>
      <c r="R30" s="51"/>
      <c r="S30" s="51"/>
    </row>
    <row r="31" spans="1:28">
      <c r="B31" s="38"/>
      <c r="C31" s="565"/>
      <c r="D31" s="565"/>
      <c r="E31" s="565"/>
      <c r="F31" s="565"/>
      <c r="G31" s="565"/>
      <c r="H31" s="565"/>
      <c r="I31" s="565"/>
      <c r="J31" s="565"/>
      <c r="K31" s="565"/>
      <c r="L31" s="565"/>
      <c r="M31" s="565"/>
      <c r="N31" s="48"/>
      <c r="O31" s="51"/>
      <c r="P31" s="51"/>
      <c r="Q31" s="51"/>
      <c r="R31" s="51"/>
      <c r="S31" s="51"/>
      <c r="T31" s="3"/>
      <c r="U31" s="3"/>
      <c r="V31" s="3"/>
      <c r="W31" s="3"/>
      <c r="X31" s="3"/>
      <c r="Y31" s="3"/>
      <c r="Z31" s="3"/>
      <c r="AA31" s="3"/>
      <c r="AB31" s="3"/>
    </row>
    <row r="32" spans="1:28" ht="15" customHeight="1">
      <c r="B32" s="38"/>
      <c r="C32" s="565"/>
      <c r="D32" s="565"/>
      <c r="E32" s="565"/>
      <c r="F32" s="565"/>
      <c r="G32" s="565"/>
      <c r="H32" s="565"/>
      <c r="I32" s="565"/>
      <c r="J32" s="565"/>
      <c r="K32" s="565"/>
      <c r="L32" s="565"/>
      <c r="M32" s="565"/>
      <c r="N32" s="48"/>
      <c r="O32" s="51"/>
      <c r="P32" s="51"/>
      <c r="Q32" s="51"/>
      <c r="R32" s="51"/>
      <c r="S32" s="51"/>
      <c r="T32" s="3"/>
      <c r="U32" s="3"/>
      <c r="V32" s="3"/>
      <c r="W32" s="3"/>
      <c r="X32" s="3"/>
      <c r="Y32" s="3"/>
      <c r="Z32" s="3"/>
      <c r="AA32" s="3"/>
      <c r="AB32" s="3"/>
    </row>
    <row r="33" spans="2:28">
      <c r="B33" s="38"/>
      <c r="C33" s="565"/>
      <c r="D33" s="565"/>
      <c r="E33" s="565"/>
      <c r="F33" s="565"/>
      <c r="G33" s="565"/>
      <c r="H33" s="565"/>
      <c r="I33" s="565"/>
      <c r="J33" s="565"/>
      <c r="K33" s="565"/>
      <c r="L33" s="565"/>
      <c r="M33" s="565"/>
      <c r="N33" s="48"/>
      <c r="O33" s="51"/>
      <c r="P33" s="51"/>
      <c r="Q33" s="51"/>
      <c r="R33" s="51"/>
      <c r="S33" s="51"/>
      <c r="T33" s="3"/>
      <c r="U33" s="3"/>
      <c r="V33" s="3"/>
      <c r="W33" s="3"/>
      <c r="X33" s="3"/>
      <c r="Y33" s="3"/>
      <c r="Z33" s="3"/>
      <c r="AA33" s="3"/>
      <c r="AB33" s="3"/>
    </row>
    <row r="34" spans="2:28">
      <c r="C34" s="38"/>
      <c r="D34" s="38"/>
      <c r="E34" s="38"/>
      <c r="F34" s="38"/>
      <c r="G34" s="38"/>
      <c r="H34" s="38"/>
      <c r="I34" s="38"/>
      <c r="J34" s="38"/>
      <c r="K34" s="38"/>
      <c r="L34" s="22"/>
      <c r="M34" s="38"/>
      <c r="O34" s="51"/>
      <c r="P34" s="51"/>
      <c r="Q34" s="51"/>
      <c r="R34" s="51"/>
      <c r="S34" s="51"/>
      <c r="T34" s="3"/>
      <c r="U34" s="3"/>
      <c r="V34" s="3"/>
      <c r="W34" s="3"/>
      <c r="X34" s="3"/>
      <c r="Y34" s="3"/>
      <c r="Z34" s="3"/>
      <c r="AA34" s="3"/>
      <c r="AB34" s="3"/>
    </row>
    <row r="35" spans="2:28">
      <c r="C35" s="38" t="s">
        <v>1</v>
      </c>
      <c r="D35" s="22">
        <v>2000000</v>
      </c>
      <c r="E35" s="38"/>
      <c r="F35" s="38"/>
      <c r="G35" s="38"/>
      <c r="H35" s="38"/>
      <c r="I35" s="38"/>
      <c r="J35" s="38"/>
      <c r="K35" s="38"/>
      <c r="L35" s="22"/>
      <c r="M35" s="38"/>
      <c r="O35" s="51"/>
      <c r="P35" s="51"/>
      <c r="Q35" s="130"/>
      <c r="R35" s="130"/>
      <c r="S35" s="130"/>
    </row>
    <row r="36" spans="2:28">
      <c r="C36" s="38" t="s">
        <v>2</v>
      </c>
      <c r="D36" s="22">
        <v>1500000</v>
      </c>
      <c r="E36" s="38"/>
      <c r="F36" s="38"/>
      <c r="G36" s="38"/>
      <c r="H36" s="38"/>
      <c r="I36" s="38"/>
      <c r="J36" s="38"/>
      <c r="K36" s="38"/>
      <c r="L36" s="22"/>
      <c r="M36" s="38"/>
      <c r="O36" s="51"/>
      <c r="P36" s="51"/>
      <c r="Q36" s="130"/>
      <c r="R36" s="130"/>
      <c r="S36" s="51"/>
    </row>
    <row r="37" spans="2:28">
      <c r="C37" s="38" t="s">
        <v>3</v>
      </c>
      <c r="D37" s="22">
        <v>500000</v>
      </c>
      <c r="E37" s="38"/>
      <c r="F37" s="38"/>
      <c r="G37" s="38"/>
      <c r="H37" s="38"/>
      <c r="I37" s="38"/>
      <c r="J37" s="38"/>
      <c r="K37" s="38"/>
      <c r="L37" s="22"/>
      <c r="M37" s="38"/>
      <c r="O37" s="51"/>
      <c r="P37" s="51"/>
      <c r="Q37" s="130"/>
      <c r="R37" s="130"/>
      <c r="S37" s="51"/>
    </row>
    <row r="38" spans="2:28">
      <c r="C38" s="38" t="s">
        <v>4</v>
      </c>
      <c r="D38" s="22">
        <v>1000000</v>
      </c>
      <c r="E38" s="38"/>
      <c r="F38" s="38"/>
      <c r="G38" s="38"/>
      <c r="H38" s="38"/>
      <c r="I38" s="38"/>
      <c r="J38" s="38"/>
      <c r="K38" s="38"/>
      <c r="L38" s="22"/>
      <c r="M38" s="38"/>
      <c r="O38" s="51"/>
      <c r="P38" s="51"/>
      <c r="Q38" s="130"/>
      <c r="R38" s="130"/>
      <c r="S38" s="51"/>
    </row>
    <row r="39" spans="2:28">
      <c r="C39" s="38" t="s">
        <v>5</v>
      </c>
      <c r="D39" s="38" t="s">
        <v>6</v>
      </c>
      <c r="E39" s="38"/>
      <c r="F39" s="38"/>
      <c r="G39" s="38"/>
      <c r="H39" s="38"/>
      <c r="I39" s="38"/>
      <c r="J39" s="38"/>
      <c r="K39" s="38"/>
      <c r="L39" s="22"/>
      <c r="M39" s="38"/>
      <c r="O39" s="51"/>
      <c r="P39" s="51"/>
      <c r="Q39" s="130"/>
      <c r="R39" s="130"/>
      <c r="S39" s="51"/>
    </row>
    <row r="40" spans="2:28">
      <c r="B40" s="38"/>
      <c r="C40" s="38"/>
      <c r="D40" s="38"/>
      <c r="E40" s="38"/>
      <c r="F40" s="38"/>
      <c r="G40" s="38"/>
      <c r="H40" s="38"/>
      <c r="I40" s="38"/>
      <c r="J40" s="38"/>
      <c r="K40" s="38"/>
      <c r="L40" s="22"/>
      <c r="M40" s="38"/>
      <c r="O40" s="51"/>
      <c r="P40" s="51"/>
      <c r="Q40" s="51"/>
      <c r="R40" s="51"/>
      <c r="S40" s="51"/>
    </row>
    <row r="41" spans="2:28">
      <c r="B41" s="214">
        <v>3</v>
      </c>
      <c r="C41" s="214" t="s">
        <v>182</v>
      </c>
      <c r="D41" s="38"/>
      <c r="E41" s="38"/>
      <c r="F41" s="38"/>
      <c r="G41" s="38"/>
      <c r="H41" s="38"/>
      <c r="I41" s="38"/>
      <c r="J41" s="38"/>
      <c r="K41" s="38"/>
      <c r="L41" s="22"/>
      <c r="M41" s="38"/>
      <c r="O41" s="51"/>
      <c r="P41" s="51"/>
      <c r="Q41" s="51"/>
      <c r="R41" s="51"/>
      <c r="S41" s="51"/>
    </row>
    <row r="42" spans="2:28" ht="15" customHeight="1">
      <c r="B42" s="38"/>
      <c r="C42" s="565" t="s">
        <v>506</v>
      </c>
      <c r="D42" s="565"/>
      <c r="E42" s="565"/>
      <c r="F42" s="565"/>
      <c r="G42" s="565"/>
      <c r="H42" s="565"/>
      <c r="I42" s="565"/>
      <c r="J42" s="565"/>
      <c r="K42" s="565"/>
      <c r="L42" s="565"/>
      <c r="M42" s="565"/>
      <c r="O42" s="51"/>
      <c r="P42" s="51"/>
      <c r="Q42" s="51"/>
      <c r="R42" s="51"/>
      <c r="S42" s="51"/>
    </row>
    <row r="43" spans="2:28">
      <c r="B43" s="38"/>
      <c r="C43" s="565"/>
      <c r="D43" s="565"/>
      <c r="E43" s="565"/>
      <c r="F43" s="565"/>
      <c r="G43" s="565"/>
      <c r="H43" s="565"/>
      <c r="I43" s="565"/>
      <c r="J43" s="565"/>
      <c r="K43" s="565"/>
      <c r="L43" s="565"/>
      <c r="M43" s="565"/>
      <c r="O43" s="51"/>
      <c r="P43" s="131"/>
      <c r="Q43" s="130"/>
      <c r="R43" s="130"/>
      <c r="S43" s="51"/>
    </row>
    <row r="44" spans="2:28">
      <c r="C44" s="552"/>
      <c r="D44" s="552"/>
      <c r="E44" s="552"/>
      <c r="F44" s="552"/>
      <c r="G44" s="552"/>
      <c r="H44" s="552"/>
      <c r="I44" s="552"/>
      <c r="J44" s="552"/>
      <c r="K44" s="552"/>
      <c r="L44" s="552"/>
      <c r="M44" s="552"/>
      <c r="O44" s="51"/>
      <c r="P44" s="51"/>
      <c r="Q44" s="130"/>
      <c r="R44" s="130"/>
      <c r="S44" s="51"/>
    </row>
    <row r="45" spans="2:28">
      <c r="C45" s="38" t="s">
        <v>1</v>
      </c>
      <c r="D45" s="22">
        <v>7000000</v>
      </c>
      <c r="E45" s="38"/>
      <c r="F45" s="38"/>
      <c r="G45" s="38"/>
      <c r="H45" s="38"/>
      <c r="I45" s="38"/>
      <c r="J45" s="38"/>
      <c r="K45" s="38"/>
      <c r="L45" s="22"/>
      <c r="M45" s="38"/>
      <c r="O45" s="51"/>
      <c r="P45" s="51"/>
      <c r="Q45" s="130"/>
      <c r="R45" s="130"/>
      <c r="S45" s="51"/>
    </row>
    <row r="46" spans="2:28">
      <c r="C46" s="38" t="s">
        <v>2</v>
      </c>
      <c r="D46" s="22">
        <v>42000000</v>
      </c>
      <c r="E46" s="38"/>
      <c r="F46" s="38"/>
      <c r="G46" s="38"/>
      <c r="H46" s="38"/>
      <c r="I46" s="38"/>
      <c r="J46" s="38"/>
      <c r="K46" s="38"/>
      <c r="L46" s="22"/>
      <c r="M46" s="38"/>
      <c r="O46" s="51"/>
      <c r="P46" s="131"/>
      <c r="Q46" s="130"/>
      <c r="R46" s="130"/>
      <c r="S46" s="51"/>
    </row>
    <row r="47" spans="2:28">
      <c r="C47" s="38" t="s">
        <v>3</v>
      </c>
      <c r="D47" s="22">
        <v>10000000</v>
      </c>
      <c r="E47" s="38"/>
      <c r="F47" s="38"/>
      <c r="G47" s="38"/>
      <c r="H47" s="38"/>
      <c r="I47" s="38"/>
      <c r="J47" s="38"/>
      <c r="K47" s="38"/>
      <c r="L47" s="22"/>
      <c r="M47" s="38"/>
      <c r="O47" s="51"/>
      <c r="P47" s="51"/>
      <c r="Q47" s="51"/>
      <c r="R47" s="51"/>
      <c r="S47" s="51"/>
      <c r="T47" s="2"/>
      <c r="U47" s="28"/>
      <c r="V47" s="28"/>
      <c r="W47" s="28"/>
    </row>
    <row r="48" spans="2:28">
      <c r="C48" s="38" t="s">
        <v>4</v>
      </c>
      <c r="D48" s="22">
        <v>8000000</v>
      </c>
      <c r="E48" s="38"/>
      <c r="F48" s="38"/>
      <c r="G48" s="38"/>
      <c r="H48" s="38"/>
      <c r="I48" s="38"/>
      <c r="J48" s="38"/>
      <c r="K48" s="38"/>
      <c r="L48" s="22"/>
      <c r="M48" s="553"/>
      <c r="O48" s="51"/>
      <c r="P48" s="51"/>
      <c r="Q48" s="130"/>
      <c r="R48" s="51"/>
      <c r="S48" s="51"/>
      <c r="T48" s="29"/>
      <c r="U48" s="28"/>
      <c r="V48" s="28"/>
      <c r="W48" s="28"/>
    </row>
    <row r="49" spans="2:23">
      <c r="C49" s="38" t="s">
        <v>5</v>
      </c>
      <c r="D49" s="38" t="s">
        <v>6</v>
      </c>
      <c r="E49" s="38"/>
      <c r="F49" s="38"/>
      <c r="G49" s="38"/>
      <c r="H49" s="38"/>
      <c r="I49" s="38"/>
      <c r="J49" s="38"/>
      <c r="K49" s="38"/>
      <c r="L49" s="22"/>
      <c r="M49" s="38"/>
      <c r="O49" s="51"/>
      <c r="P49" s="51"/>
      <c r="Q49" s="51"/>
      <c r="R49" s="51"/>
      <c r="S49" s="51"/>
      <c r="T49" s="29"/>
      <c r="U49" s="132"/>
      <c r="V49" s="132"/>
      <c r="W49" s="199"/>
    </row>
    <row r="50" spans="2:23">
      <c r="C50" s="38"/>
      <c r="D50" s="38"/>
      <c r="E50" s="38"/>
      <c r="F50" s="38"/>
      <c r="G50" s="38"/>
      <c r="H50" s="38"/>
      <c r="I50" s="38"/>
      <c r="J50" s="38"/>
      <c r="K50" s="38"/>
      <c r="L50" s="22"/>
      <c r="M50" s="38"/>
      <c r="O50" s="51"/>
      <c r="P50" s="51"/>
      <c r="Q50" s="51"/>
      <c r="R50" s="51"/>
      <c r="S50" s="51"/>
      <c r="T50" s="30"/>
      <c r="U50" s="132"/>
      <c r="V50" s="132"/>
      <c r="W50" s="199"/>
    </row>
    <row r="51" spans="2:23">
      <c r="B51" s="214">
        <v>4</v>
      </c>
      <c r="C51" s="214" t="s">
        <v>614</v>
      </c>
      <c r="D51" s="38"/>
      <c r="E51" s="38"/>
      <c r="F51" s="38"/>
      <c r="G51" s="38"/>
      <c r="H51" s="38"/>
      <c r="I51" s="38"/>
      <c r="J51" s="38"/>
      <c r="K51" s="38"/>
      <c r="L51" s="22"/>
      <c r="M51" s="38"/>
      <c r="O51" s="51"/>
      <c r="P51" s="51"/>
      <c r="Q51" s="130"/>
      <c r="R51" s="51"/>
      <c r="S51" s="51"/>
      <c r="T51" s="30"/>
      <c r="U51" s="132"/>
      <c r="V51" s="132"/>
      <c r="W51" s="199"/>
    </row>
    <row r="52" spans="2:23">
      <c r="B52" s="38"/>
      <c r="C52" s="565" t="s">
        <v>615</v>
      </c>
      <c r="D52" s="565"/>
      <c r="E52" s="565"/>
      <c r="F52" s="565"/>
      <c r="G52" s="565"/>
      <c r="H52" s="565"/>
      <c r="I52" s="565"/>
      <c r="J52" s="565"/>
      <c r="K52" s="565"/>
      <c r="L52" s="565"/>
      <c r="M52" s="565"/>
      <c r="O52" s="51"/>
      <c r="P52" s="51"/>
      <c r="Q52" s="130"/>
      <c r="R52" s="51"/>
      <c r="S52" s="51"/>
      <c r="T52" s="30"/>
      <c r="U52" s="28"/>
      <c r="V52" s="28"/>
      <c r="W52" s="28"/>
    </row>
    <row r="53" spans="2:23">
      <c r="B53" s="38"/>
      <c r="C53" s="565"/>
      <c r="D53" s="565"/>
      <c r="E53" s="565"/>
      <c r="F53" s="565"/>
      <c r="G53" s="565"/>
      <c r="H53" s="565"/>
      <c r="I53" s="565"/>
      <c r="J53" s="565"/>
      <c r="K53" s="565"/>
      <c r="L53" s="565"/>
      <c r="M53" s="565"/>
      <c r="O53" s="51"/>
      <c r="P53" s="51"/>
      <c r="Q53" s="130"/>
      <c r="R53" s="51"/>
      <c r="S53" s="51"/>
      <c r="T53" s="30"/>
      <c r="U53" s="28"/>
      <c r="V53" s="28"/>
      <c r="W53" s="28"/>
    </row>
    <row r="54" spans="2:23">
      <c r="B54" s="38"/>
      <c r="C54" s="565"/>
      <c r="D54" s="565"/>
      <c r="E54" s="565"/>
      <c r="F54" s="565"/>
      <c r="G54" s="565"/>
      <c r="H54" s="565"/>
      <c r="I54" s="565"/>
      <c r="J54" s="565"/>
      <c r="K54" s="565"/>
      <c r="L54" s="565"/>
      <c r="M54" s="565"/>
      <c r="O54" s="51"/>
      <c r="P54" s="51"/>
      <c r="Q54" s="130"/>
      <c r="R54" s="51"/>
      <c r="S54" s="51"/>
      <c r="T54" s="30"/>
      <c r="U54" s="132"/>
      <c r="V54" s="132"/>
      <c r="W54" s="199"/>
    </row>
    <row r="55" spans="2:23">
      <c r="B55" s="38"/>
      <c r="C55" s="38" t="s">
        <v>1</v>
      </c>
      <c r="D55" s="554" t="s">
        <v>620</v>
      </c>
      <c r="E55" s="555"/>
      <c r="F55" s="555"/>
      <c r="G55" s="555"/>
      <c r="H55" s="555"/>
      <c r="I55" s="38"/>
      <c r="J55" s="38"/>
      <c r="K55" s="38"/>
      <c r="L55" s="22"/>
      <c r="M55" s="38"/>
      <c r="O55" s="51"/>
      <c r="P55" s="51"/>
      <c r="Q55" s="130"/>
      <c r="R55" s="51"/>
      <c r="S55" s="51"/>
      <c r="T55" s="38"/>
      <c r="U55" s="132"/>
      <c r="V55" s="132"/>
      <c r="W55" s="199"/>
    </row>
    <row r="56" spans="2:23" ht="15.75">
      <c r="C56" s="38" t="s">
        <v>2</v>
      </c>
      <c r="D56" s="556" t="s">
        <v>619</v>
      </c>
      <c r="E56" s="555"/>
      <c r="F56" s="555"/>
      <c r="G56" s="555"/>
      <c r="H56" s="555"/>
      <c r="I56" s="38"/>
      <c r="J56" s="38"/>
      <c r="K56" s="38"/>
      <c r="L56" s="22"/>
      <c r="M56" s="38"/>
      <c r="O56" s="51"/>
      <c r="P56" s="51"/>
      <c r="Q56" s="130"/>
      <c r="R56" s="130"/>
      <c r="S56" s="51"/>
      <c r="T56" s="38"/>
    </row>
    <row r="57" spans="2:23" ht="15.75">
      <c r="C57" s="38" t="s">
        <v>3</v>
      </c>
      <c r="D57" s="556" t="s">
        <v>618</v>
      </c>
      <c r="E57" s="555"/>
      <c r="F57" s="555"/>
      <c r="G57" s="555"/>
      <c r="H57" s="555"/>
      <c r="I57" s="38"/>
      <c r="J57" s="38"/>
      <c r="K57" s="38"/>
      <c r="L57" s="22"/>
      <c r="M57" s="38"/>
      <c r="O57" s="51"/>
      <c r="P57" s="51"/>
      <c r="Q57" s="130"/>
      <c r="R57" s="51"/>
      <c r="S57" s="51"/>
      <c r="T57" s="38"/>
    </row>
    <row r="58" spans="2:23" ht="15.75">
      <c r="C58" s="38" t="s">
        <v>4</v>
      </c>
      <c r="D58" s="556" t="s">
        <v>617</v>
      </c>
      <c r="E58" s="555"/>
      <c r="F58" s="555"/>
      <c r="G58" s="555"/>
      <c r="H58" s="555"/>
      <c r="I58" s="38"/>
      <c r="J58" s="38"/>
      <c r="K58" s="38"/>
      <c r="L58" s="22"/>
      <c r="M58" s="38"/>
      <c r="O58" s="51"/>
      <c r="P58" s="51"/>
      <c r="Q58" s="51"/>
      <c r="R58" s="51"/>
      <c r="S58" s="51"/>
      <c r="T58" s="38"/>
    </row>
    <row r="59" spans="2:23" ht="15.75">
      <c r="C59" s="38" t="s">
        <v>5</v>
      </c>
      <c r="D59" s="556" t="s">
        <v>616</v>
      </c>
      <c r="E59" s="555"/>
      <c r="F59" s="555"/>
      <c r="G59" s="555"/>
      <c r="H59" s="555"/>
      <c r="I59" s="38"/>
      <c r="J59" s="38"/>
      <c r="K59" s="38"/>
      <c r="L59" s="22"/>
      <c r="M59" s="38"/>
      <c r="O59" s="51"/>
      <c r="P59" s="51"/>
      <c r="Q59" s="130"/>
      <c r="R59" s="130"/>
      <c r="S59" s="130"/>
      <c r="T59" s="38"/>
    </row>
    <row r="60" spans="2:23">
      <c r="C60" s="38"/>
      <c r="D60" s="38"/>
      <c r="E60" s="38"/>
      <c r="F60" s="38"/>
      <c r="G60" s="38"/>
      <c r="H60" s="38"/>
      <c r="I60" s="38"/>
      <c r="J60" s="38"/>
      <c r="K60" s="38"/>
      <c r="L60" s="22"/>
      <c r="M60" s="38"/>
      <c r="O60" s="51"/>
      <c r="P60" s="51"/>
      <c r="Q60" s="51"/>
      <c r="R60" s="130"/>
      <c r="S60" s="51"/>
      <c r="T60" s="38"/>
    </row>
    <row r="61" spans="2:23">
      <c r="B61" s="214">
        <v>5</v>
      </c>
      <c r="C61" s="214" t="s">
        <v>276</v>
      </c>
      <c r="D61" s="38"/>
      <c r="E61" s="38"/>
      <c r="F61" s="38"/>
      <c r="G61" s="38"/>
      <c r="H61" s="38"/>
      <c r="I61" s="38"/>
      <c r="J61" s="38"/>
      <c r="K61" s="38"/>
      <c r="L61" s="22"/>
      <c r="M61" s="38"/>
      <c r="O61" s="51"/>
      <c r="P61" s="51"/>
      <c r="Q61" s="51"/>
      <c r="R61" s="51"/>
      <c r="S61" s="51"/>
      <c r="T61" s="38"/>
    </row>
    <row r="62" spans="2:23">
      <c r="B62" s="38"/>
      <c r="C62" s="565" t="s">
        <v>436</v>
      </c>
      <c r="D62" s="565"/>
      <c r="E62" s="565"/>
      <c r="F62" s="565"/>
      <c r="G62" s="565"/>
      <c r="H62" s="565"/>
      <c r="I62" s="565"/>
      <c r="J62" s="565"/>
      <c r="K62" s="565"/>
      <c r="L62" s="565"/>
      <c r="M62" s="565"/>
      <c r="O62" s="51"/>
      <c r="P62" s="51"/>
      <c r="Q62" s="51"/>
      <c r="R62" s="51"/>
      <c r="S62" s="51"/>
      <c r="T62" s="38"/>
    </row>
    <row r="63" spans="2:23">
      <c r="B63" s="38"/>
      <c r="C63" s="565"/>
      <c r="D63" s="565"/>
      <c r="E63" s="565"/>
      <c r="F63" s="565"/>
      <c r="G63" s="565"/>
      <c r="H63" s="565"/>
      <c r="I63" s="565"/>
      <c r="J63" s="565"/>
      <c r="K63" s="565"/>
      <c r="L63" s="565"/>
      <c r="M63" s="565"/>
      <c r="O63" s="51"/>
      <c r="P63" s="51"/>
      <c r="Q63" s="51"/>
      <c r="R63" s="51"/>
      <c r="S63" s="51"/>
      <c r="T63" s="38"/>
    </row>
    <row r="64" spans="2:23">
      <c r="B64" s="38"/>
      <c r="C64" s="565"/>
      <c r="D64" s="565"/>
      <c r="E64" s="565"/>
      <c r="F64" s="565"/>
      <c r="G64" s="565"/>
      <c r="H64" s="565"/>
      <c r="I64" s="565"/>
      <c r="J64" s="565"/>
      <c r="K64" s="565"/>
      <c r="L64" s="565"/>
      <c r="M64" s="565"/>
      <c r="O64" s="51"/>
      <c r="P64" s="51"/>
      <c r="Q64" s="51"/>
      <c r="R64" s="51"/>
      <c r="S64" s="51"/>
      <c r="T64" s="38"/>
    </row>
    <row r="65" spans="2:22">
      <c r="C65" s="38"/>
      <c r="D65" s="38"/>
      <c r="E65" s="38"/>
      <c r="F65" s="38"/>
      <c r="G65" s="38"/>
      <c r="H65" s="38"/>
      <c r="I65" s="38"/>
      <c r="J65" s="38"/>
      <c r="K65" s="38"/>
      <c r="L65" s="38"/>
      <c r="M65" s="38"/>
      <c r="O65" s="51"/>
      <c r="P65" s="51"/>
      <c r="Q65" s="51"/>
      <c r="R65" s="51"/>
      <c r="S65" s="51"/>
    </row>
    <row r="66" spans="2:22">
      <c r="C66" s="38" t="s">
        <v>1</v>
      </c>
      <c r="D66" s="22" t="s">
        <v>331</v>
      </c>
      <c r="E66" s="38"/>
      <c r="F66" s="38"/>
      <c r="G66" s="38"/>
      <c r="H66" s="38"/>
      <c r="I66" s="38"/>
      <c r="J66" s="38"/>
      <c r="K66" s="38"/>
      <c r="L66" s="22"/>
      <c r="M66" s="38"/>
      <c r="O66" s="51"/>
      <c r="P66" s="51"/>
      <c r="Q66" s="51"/>
      <c r="R66" s="51"/>
      <c r="S66" s="51"/>
    </row>
    <row r="67" spans="2:22">
      <c r="C67" s="38" t="s">
        <v>2</v>
      </c>
      <c r="D67" s="22" t="s">
        <v>332</v>
      </c>
      <c r="E67" s="38"/>
      <c r="F67" s="38"/>
      <c r="G67" s="175"/>
      <c r="H67" s="175"/>
      <c r="I67" s="175"/>
      <c r="J67" s="38"/>
      <c r="K67" s="38"/>
      <c r="L67" s="22"/>
      <c r="M67" s="38"/>
      <c r="O67" s="51"/>
      <c r="P67" s="51"/>
      <c r="Q67" s="51"/>
      <c r="R67" s="51"/>
      <c r="S67" s="51"/>
    </row>
    <row r="68" spans="2:22">
      <c r="C68" s="38" t="s">
        <v>3</v>
      </c>
      <c r="D68" s="22" t="s">
        <v>333</v>
      </c>
      <c r="E68" s="38"/>
      <c r="F68" s="38"/>
      <c r="G68" s="175"/>
      <c r="H68" s="175"/>
      <c r="I68" s="175"/>
      <c r="J68" s="38"/>
      <c r="K68" s="38"/>
      <c r="L68" s="22"/>
      <c r="M68" s="38"/>
      <c r="O68" s="51"/>
      <c r="P68" s="51"/>
      <c r="Q68" s="51"/>
      <c r="R68" s="51"/>
      <c r="S68" s="51"/>
    </row>
    <row r="69" spans="2:22">
      <c r="C69" s="38" t="s">
        <v>4</v>
      </c>
      <c r="D69" s="22" t="s">
        <v>426</v>
      </c>
      <c r="E69" s="38"/>
      <c r="F69" s="38"/>
      <c r="G69" s="38"/>
      <c r="H69" s="38"/>
      <c r="I69" s="38"/>
      <c r="J69" s="38"/>
      <c r="K69" s="38"/>
      <c r="L69" s="22"/>
      <c r="M69" s="38"/>
      <c r="O69" s="51"/>
      <c r="P69" s="51"/>
      <c r="Q69" s="51"/>
      <c r="R69" s="51"/>
      <c r="S69" s="51"/>
    </row>
    <row r="70" spans="2:22">
      <c r="C70" s="38" t="s">
        <v>5</v>
      </c>
      <c r="D70" s="22" t="s">
        <v>6</v>
      </c>
      <c r="E70" s="38"/>
      <c r="F70" s="38"/>
      <c r="G70" s="38"/>
      <c r="H70" s="38"/>
      <c r="I70" s="38"/>
      <c r="J70" s="38"/>
      <c r="K70" s="38"/>
      <c r="L70" s="22"/>
      <c r="M70" s="38"/>
      <c r="O70" s="51"/>
      <c r="P70" s="51"/>
      <c r="Q70" s="51"/>
      <c r="R70" s="51"/>
      <c r="S70" s="51"/>
    </row>
    <row r="71" spans="2:22">
      <c r="C71" s="38"/>
      <c r="D71" s="38"/>
      <c r="E71" s="38"/>
      <c r="F71" s="38"/>
      <c r="G71" s="38"/>
      <c r="H71" s="38"/>
      <c r="I71" s="38"/>
      <c r="J71" s="38"/>
      <c r="K71" s="38"/>
      <c r="L71" s="22"/>
      <c r="M71" s="38"/>
      <c r="O71" s="51"/>
      <c r="P71" s="51"/>
      <c r="Q71" s="51"/>
      <c r="R71" s="51"/>
      <c r="S71" s="51"/>
    </row>
    <row r="72" spans="2:22">
      <c r="B72" s="214">
        <v>6</v>
      </c>
      <c r="C72" s="214" t="s">
        <v>292</v>
      </c>
      <c r="D72" s="38"/>
      <c r="E72" s="38"/>
      <c r="F72" s="38"/>
      <c r="G72" s="38"/>
      <c r="H72" s="38"/>
      <c r="I72" s="38"/>
      <c r="J72" s="38"/>
      <c r="K72" s="38"/>
      <c r="L72" s="22"/>
      <c r="M72" s="38"/>
      <c r="O72" s="51"/>
      <c r="P72" s="51"/>
      <c r="Q72" s="51"/>
      <c r="R72" s="51"/>
      <c r="S72" s="51"/>
    </row>
    <row r="73" spans="2:22">
      <c r="B73" s="38"/>
      <c r="C73" s="565" t="s">
        <v>632</v>
      </c>
      <c r="D73" s="565"/>
      <c r="E73" s="565"/>
      <c r="F73" s="565"/>
      <c r="G73" s="565"/>
      <c r="H73" s="565"/>
      <c r="I73" s="565"/>
      <c r="J73" s="565"/>
      <c r="K73" s="565"/>
      <c r="L73" s="565"/>
      <c r="M73" s="565"/>
      <c r="O73" s="51"/>
      <c r="P73" s="51"/>
      <c r="Q73" s="51"/>
      <c r="R73" s="51"/>
      <c r="S73" s="51"/>
    </row>
    <row r="74" spans="2:22">
      <c r="B74" s="38"/>
      <c r="C74" s="565"/>
      <c r="D74" s="565"/>
      <c r="E74" s="565"/>
      <c r="F74" s="565"/>
      <c r="G74" s="565"/>
      <c r="H74" s="565"/>
      <c r="I74" s="565"/>
      <c r="J74" s="565"/>
      <c r="K74" s="565"/>
      <c r="L74" s="565"/>
      <c r="M74" s="565"/>
      <c r="O74" s="51"/>
      <c r="P74" s="130"/>
      <c r="Q74" s="130"/>
      <c r="R74" s="130"/>
      <c r="S74" s="51"/>
    </row>
    <row r="75" spans="2:22">
      <c r="B75" s="38"/>
      <c r="C75" s="551"/>
      <c r="D75" s="551"/>
      <c r="E75" s="551"/>
      <c r="F75" s="551"/>
      <c r="G75" s="175"/>
      <c r="H75" s="551"/>
      <c r="I75" s="551"/>
      <c r="J75" s="551"/>
      <c r="K75" s="551"/>
      <c r="L75" s="551"/>
      <c r="M75" s="551"/>
      <c r="O75" s="51"/>
      <c r="P75" s="130"/>
      <c r="Q75" s="130"/>
      <c r="R75" s="130"/>
      <c r="S75" s="51"/>
    </row>
    <row r="76" spans="2:22" ht="29.25" customHeight="1">
      <c r="C76" s="195" t="s">
        <v>1</v>
      </c>
      <c r="D76" s="567" t="s">
        <v>447</v>
      </c>
      <c r="E76" s="567"/>
      <c r="F76" s="567"/>
      <c r="G76" s="567"/>
      <c r="H76" s="567"/>
      <c r="I76" s="567"/>
      <c r="J76" s="567"/>
      <c r="K76" s="567"/>
      <c r="L76" s="567"/>
      <c r="M76" s="567"/>
      <c r="O76" s="51"/>
      <c r="P76" s="51"/>
      <c r="Q76" s="51"/>
      <c r="R76" s="51"/>
      <c r="S76" s="51"/>
    </row>
    <row r="77" spans="2:22">
      <c r="B77" s="38"/>
      <c r="C77" s="195" t="s">
        <v>2</v>
      </c>
      <c r="D77" s="201" t="s">
        <v>437</v>
      </c>
      <c r="E77" s="38"/>
      <c r="F77" s="38"/>
      <c r="G77" s="38"/>
      <c r="H77" s="38"/>
      <c r="I77" s="38"/>
      <c r="J77" s="38"/>
      <c r="K77" s="38"/>
      <c r="L77" s="22"/>
      <c r="M77" s="38"/>
      <c r="O77" s="51"/>
      <c r="P77" s="133"/>
      <c r="Q77" s="51"/>
      <c r="R77" s="51"/>
      <c r="S77" s="51"/>
      <c r="V77" s="2"/>
    </row>
    <row r="78" spans="2:22">
      <c r="C78" s="195" t="s">
        <v>3</v>
      </c>
      <c r="D78" s="201" t="s">
        <v>438</v>
      </c>
      <c r="E78" s="38"/>
      <c r="F78" s="38"/>
      <c r="G78" s="38"/>
      <c r="H78" s="38"/>
      <c r="I78" s="38"/>
      <c r="J78" s="38"/>
      <c r="K78" s="38"/>
      <c r="L78" s="22"/>
      <c r="M78" s="38"/>
      <c r="O78" s="51"/>
      <c r="P78" s="51"/>
      <c r="Q78" s="51"/>
      <c r="R78" s="51"/>
      <c r="S78" s="51"/>
    </row>
    <row r="79" spans="2:22" ht="28.5" customHeight="1">
      <c r="C79" s="195" t="s">
        <v>4</v>
      </c>
      <c r="D79" s="567" t="s">
        <v>446</v>
      </c>
      <c r="E79" s="567"/>
      <c r="F79" s="567"/>
      <c r="G79" s="567"/>
      <c r="H79" s="567"/>
      <c r="I79" s="567"/>
      <c r="J79" s="567"/>
      <c r="K79" s="567"/>
      <c r="L79" s="567"/>
      <c r="M79" s="567"/>
      <c r="O79" s="51"/>
      <c r="P79" s="130"/>
      <c r="Q79" s="51"/>
      <c r="R79" s="51"/>
      <c r="S79" s="51"/>
    </row>
    <row r="80" spans="2:22">
      <c r="C80" s="195" t="s">
        <v>5</v>
      </c>
      <c r="D80" s="22" t="s">
        <v>6</v>
      </c>
      <c r="E80" s="38"/>
      <c r="F80" s="38"/>
      <c r="G80" s="38"/>
      <c r="H80" s="38"/>
      <c r="I80" s="38"/>
      <c r="J80" s="38"/>
      <c r="K80" s="38"/>
      <c r="L80" s="22"/>
      <c r="M80" s="38"/>
      <c r="O80" s="51"/>
      <c r="P80" s="130"/>
      <c r="Q80" s="51"/>
      <c r="R80" s="51"/>
      <c r="S80" s="51"/>
    </row>
    <row r="81" spans="1:24">
      <c r="B81" s="38"/>
      <c r="C81" s="38"/>
      <c r="D81" s="201"/>
      <c r="E81" s="38"/>
      <c r="F81" s="38"/>
      <c r="G81" s="38"/>
      <c r="H81" s="38"/>
      <c r="I81" s="38"/>
      <c r="J81" s="38"/>
      <c r="K81" s="38"/>
      <c r="L81" s="22"/>
      <c r="M81" s="38"/>
      <c r="O81" s="51"/>
      <c r="P81" s="130"/>
      <c r="Q81" s="51"/>
      <c r="R81" s="51"/>
      <c r="S81" s="51"/>
    </row>
    <row r="82" spans="1:24">
      <c r="B82" s="214">
        <v>7</v>
      </c>
      <c r="C82" s="214" t="s">
        <v>293</v>
      </c>
      <c r="D82" s="38"/>
      <c r="E82" s="38"/>
      <c r="F82" s="38"/>
      <c r="G82" s="38"/>
      <c r="H82" s="38"/>
      <c r="I82" s="38"/>
      <c r="J82" s="38"/>
      <c r="K82" s="38"/>
      <c r="L82" s="22"/>
      <c r="M82" s="38"/>
      <c r="O82" s="51"/>
      <c r="P82" s="51"/>
      <c r="Q82" s="51"/>
      <c r="R82" s="51"/>
      <c r="S82" s="51"/>
    </row>
    <row r="83" spans="1:24" ht="32.25" customHeight="1">
      <c r="B83" s="38"/>
      <c r="C83" s="565" t="s">
        <v>650</v>
      </c>
      <c r="D83" s="565"/>
      <c r="E83" s="565"/>
      <c r="F83" s="565"/>
      <c r="G83" s="565"/>
      <c r="H83" s="565"/>
      <c r="I83" s="565"/>
      <c r="J83" s="565"/>
      <c r="K83" s="565"/>
      <c r="L83" s="565"/>
      <c r="M83" s="565"/>
      <c r="O83" s="51"/>
      <c r="P83" s="51"/>
      <c r="Q83" s="51"/>
      <c r="R83" s="51"/>
      <c r="S83" s="51"/>
    </row>
    <row r="84" spans="1:24">
      <c r="C84" s="38" t="s">
        <v>1</v>
      </c>
      <c r="D84" s="179">
        <v>43681</v>
      </c>
      <c r="E84" s="38"/>
      <c r="F84" s="38"/>
      <c r="G84" s="38"/>
      <c r="H84" s="38"/>
      <c r="I84" s="38"/>
      <c r="J84" s="38"/>
      <c r="K84" s="38"/>
      <c r="L84" s="22"/>
      <c r="M84" s="38"/>
      <c r="O84" s="51"/>
      <c r="P84" s="51"/>
      <c r="Q84" s="51"/>
      <c r="R84" s="51"/>
      <c r="S84" s="51"/>
    </row>
    <row r="85" spans="1:24">
      <c r="C85" s="38" t="s">
        <v>2</v>
      </c>
      <c r="D85" s="20">
        <v>42936</v>
      </c>
      <c r="O85" s="51"/>
      <c r="P85" s="51"/>
      <c r="Q85" s="51"/>
      <c r="R85" s="51"/>
      <c r="S85" s="51"/>
    </row>
    <row r="86" spans="1:24">
      <c r="C86" s="38" t="s">
        <v>3</v>
      </c>
      <c r="D86" s="20">
        <v>43135</v>
      </c>
      <c r="O86" s="51"/>
      <c r="P86" s="51"/>
      <c r="Q86" s="51"/>
      <c r="R86" s="51"/>
      <c r="S86" s="51"/>
    </row>
    <row r="87" spans="1:24" s="38" customFormat="1">
      <c r="A87"/>
      <c r="C87" s="38" t="s">
        <v>4</v>
      </c>
      <c r="D87" s="179">
        <v>43043</v>
      </c>
      <c r="L87" s="22"/>
      <c r="O87" s="51"/>
      <c r="P87" s="51"/>
      <c r="Q87" s="51"/>
      <c r="R87" s="51"/>
      <c r="S87" s="51"/>
      <c r="W87" s="22"/>
    </row>
    <row r="88" spans="1:24">
      <c r="C88" t="s">
        <v>5</v>
      </c>
      <c r="D88" s="4" t="s">
        <v>6</v>
      </c>
      <c r="O88" s="51"/>
      <c r="P88" s="51"/>
      <c r="Q88" s="51"/>
      <c r="R88" s="51"/>
      <c r="S88" s="51"/>
    </row>
    <row r="89" spans="1:24">
      <c r="O89" s="51"/>
      <c r="P89" s="51"/>
      <c r="Q89" s="51"/>
      <c r="R89" s="51"/>
      <c r="S89" s="51"/>
    </row>
    <row r="90" spans="1:24">
      <c r="B90" s="214">
        <v>8</v>
      </c>
      <c r="C90" s="214" t="s">
        <v>614</v>
      </c>
      <c r="D90" s="175"/>
      <c r="E90" s="38"/>
      <c r="F90" s="38"/>
      <c r="G90" s="38"/>
      <c r="H90" s="38"/>
      <c r="I90" s="38"/>
      <c r="J90" s="38"/>
      <c r="K90" s="38"/>
      <c r="L90" s="22"/>
      <c r="M90" s="38"/>
      <c r="O90" s="51"/>
      <c r="P90" s="51"/>
      <c r="Q90" s="51"/>
      <c r="R90" s="51"/>
      <c r="S90" s="51"/>
    </row>
    <row r="91" spans="1:24" ht="15" customHeight="1">
      <c r="B91" s="38"/>
      <c r="C91" s="565" t="s">
        <v>626</v>
      </c>
      <c r="D91" s="565"/>
      <c r="E91" s="565"/>
      <c r="F91" s="565"/>
      <c r="G91" s="565"/>
      <c r="H91" s="565"/>
      <c r="I91" s="565"/>
      <c r="J91" s="565"/>
      <c r="K91" s="565"/>
      <c r="L91" s="565"/>
      <c r="M91" s="565"/>
      <c r="O91" s="566"/>
      <c r="P91" s="566"/>
      <c r="Q91" s="566"/>
      <c r="R91" s="566"/>
      <c r="S91" s="51"/>
    </row>
    <row r="92" spans="1:24" ht="15" customHeight="1">
      <c r="B92" s="38"/>
      <c r="C92" s="565"/>
      <c r="D92" s="565"/>
      <c r="E92" s="565"/>
      <c r="F92" s="565"/>
      <c r="G92" s="565"/>
      <c r="H92" s="565"/>
      <c r="I92" s="565"/>
      <c r="J92" s="565"/>
      <c r="K92" s="565"/>
      <c r="L92" s="565"/>
      <c r="M92" s="565"/>
      <c r="O92" s="566"/>
      <c r="P92" s="566"/>
      <c r="Q92" s="566"/>
      <c r="R92" s="566"/>
      <c r="S92" s="51"/>
    </row>
    <row r="93" spans="1:24" ht="17.25" customHeight="1">
      <c r="B93" s="38"/>
      <c r="C93" s="565"/>
      <c r="D93" s="565"/>
      <c r="E93" s="565"/>
      <c r="F93" s="565"/>
      <c r="G93" s="565"/>
      <c r="H93" s="565"/>
      <c r="I93" s="565"/>
      <c r="J93" s="565"/>
      <c r="K93" s="565"/>
      <c r="L93" s="565"/>
      <c r="M93" s="565"/>
      <c r="O93" s="566"/>
      <c r="P93" s="566"/>
      <c r="Q93" s="566"/>
      <c r="R93" s="566"/>
      <c r="S93" s="51"/>
    </row>
    <row r="94" spans="1:24" ht="17.25" customHeight="1">
      <c r="B94" s="38"/>
      <c r="C94" s="565"/>
      <c r="D94" s="565"/>
      <c r="E94" s="565"/>
      <c r="F94" s="565"/>
      <c r="G94" s="565"/>
      <c r="H94" s="565"/>
      <c r="I94" s="565"/>
      <c r="J94" s="565"/>
      <c r="K94" s="565"/>
      <c r="L94" s="565"/>
      <c r="M94" s="565"/>
      <c r="O94" s="371"/>
      <c r="P94" s="130"/>
      <c r="Q94" s="130"/>
      <c r="R94" s="130"/>
      <c r="S94" s="51"/>
      <c r="T94" s="520"/>
      <c r="U94" s="520"/>
      <c r="V94" s="520"/>
      <c r="W94" s="520"/>
      <c r="X94" s="520"/>
    </row>
    <row r="95" spans="1:24" ht="15" customHeight="1">
      <c r="C95" s="48"/>
      <c r="D95" s="48"/>
      <c r="E95" s="48"/>
      <c r="F95" s="48"/>
      <c r="G95" s="48"/>
      <c r="H95" s="48"/>
      <c r="I95" s="48"/>
      <c r="J95" s="48"/>
      <c r="K95" s="48"/>
      <c r="L95" s="48"/>
      <c r="M95" s="48"/>
      <c r="O95" s="371"/>
      <c r="P95" s="130"/>
      <c r="Q95" s="130"/>
      <c r="R95" s="130"/>
      <c r="S95" s="51"/>
    </row>
    <row r="96" spans="1:24">
      <c r="B96" s="38"/>
      <c r="C96" s="38" t="s">
        <v>1</v>
      </c>
      <c r="D96" s="22" t="s">
        <v>621</v>
      </c>
      <c r="E96" s="551"/>
      <c r="F96" s="551"/>
      <c r="G96" s="551"/>
      <c r="H96" s="551"/>
      <c r="I96" s="551"/>
      <c r="J96" s="48"/>
      <c r="K96" s="48"/>
      <c r="L96" s="48"/>
      <c r="M96" s="48"/>
      <c r="O96" s="174"/>
      <c r="P96" s="130"/>
      <c r="Q96" s="130"/>
      <c r="R96" s="130"/>
      <c r="S96" s="51"/>
    </row>
    <row r="97" spans="2:20">
      <c r="B97" s="522"/>
      <c r="C97" s="522" t="s">
        <v>2</v>
      </c>
      <c r="D97" s="523" t="s">
        <v>622</v>
      </c>
      <c r="E97" s="524"/>
      <c r="F97" s="48"/>
      <c r="G97" s="48"/>
      <c r="H97" s="48"/>
      <c r="I97" s="48"/>
      <c r="J97" s="48"/>
      <c r="K97" s="48"/>
      <c r="L97" s="386"/>
      <c r="M97" s="48"/>
      <c r="O97" s="51"/>
      <c r="P97" s="130"/>
      <c r="Q97" s="130"/>
      <c r="R97" s="130"/>
      <c r="S97" s="51"/>
    </row>
    <row r="98" spans="2:20">
      <c r="C98" t="s">
        <v>3</v>
      </c>
      <c r="D98" s="4" t="s">
        <v>623</v>
      </c>
      <c r="E98" s="48"/>
      <c r="F98" s="48"/>
      <c r="G98" s="48"/>
      <c r="H98" s="48"/>
      <c r="I98" s="48"/>
      <c r="J98" s="48"/>
      <c r="K98" s="48"/>
      <c r="L98" s="386"/>
      <c r="M98" s="48"/>
      <c r="O98" s="174"/>
      <c r="P98" s="130"/>
      <c r="Q98" s="173"/>
      <c r="R98" s="130"/>
      <c r="S98" s="130"/>
    </row>
    <row r="99" spans="2:20">
      <c r="C99" t="s">
        <v>4</v>
      </c>
      <c r="D99" s="521" t="s">
        <v>624</v>
      </c>
      <c r="E99" s="48"/>
      <c r="F99" s="48"/>
      <c r="G99" s="48"/>
      <c r="H99" s="48"/>
      <c r="I99" s="48"/>
      <c r="J99" s="48"/>
      <c r="K99" s="48"/>
      <c r="L99" s="48"/>
      <c r="M99" s="48"/>
      <c r="O99" s="131"/>
      <c r="P99" s="130"/>
      <c r="Q99" s="51"/>
      <c r="R99" s="130"/>
      <c r="S99" s="130"/>
    </row>
    <row r="100" spans="2:20">
      <c r="C100" t="s">
        <v>5</v>
      </c>
      <c r="D100" s="172" t="s">
        <v>625</v>
      </c>
      <c r="E100" s="48"/>
      <c r="F100" s="48"/>
      <c r="G100" s="48"/>
      <c r="H100" s="48"/>
      <c r="I100" s="48"/>
      <c r="J100" s="48"/>
      <c r="K100" s="48"/>
      <c r="L100" s="48"/>
      <c r="M100" s="48"/>
      <c r="O100" s="51"/>
      <c r="P100" s="130"/>
      <c r="Q100" s="51"/>
      <c r="R100" s="51"/>
      <c r="S100" s="51"/>
    </row>
    <row r="101" spans="2:20">
      <c r="O101" s="51"/>
      <c r="P101" s="51"/>
      <c r="Q101" s="51"/>
      <c r="R101" s="51"/>
      <c r="S101" s="51"/>
    </row>
    <row r="102" spans="2:20">
      <c r="B102" s="214">
        <v>9</v>
      </c>
      <c r="C102" s="214" t="s">
        <v>195</v>
      </c>
      <c r="D102" s="38"/>
      <c r="E102" s="38"/>
      <c r="F102" s="38"/>
      <c r="G102" s="38"/>
      <c r="H102" s="38"/>
      <c r="I102" s="38"/>
      <c r="J102" s="38"/>
      <c r="K102" s="38"/>
      <c r="L102" s="22"/>
      <c r="M102" s="38"/>
      <c r="O102" s="51"/>
      <c r="P102" s="51"/>
      <c r="Q102" s="51"/>
      <c r="R102" s="51"/>
      <c r="S102" s="51"/>
    </row>
    <row r="103" spans="2:20">
      <c r="B103" s="38"/>
      <c r="C103" s="565" t="s">
        <v>651</v>
      </c>
      <c r="D103" s="565"/>
      <c r="E103" s="565"/>
      <c r="F103" s="565"/>
      <c r="G103" s="565"/>
      <c r="H103" s="565"/>
      <c r="I103" s="565"/>
      <c r="J103" s="565"/>
      <c r="K103" s="565"/>
      <c r="L103" s="565"/>
      <c r="M103" s="565"/>
      <c r="O103" s="51"/>
      <c r="P103" s="51"/>
      <c r="Q103" s="51"/>
      <c r="R103" s="51"/>
      <c r="S103" s="130"/>
      <c r="T103" s="4"/>
    </row>
    <row r="104" spans="2:20">
      <c r="B104" s="38"/>
      <c r="C104" s="565"/>
      <c r="D104" s="565"/>
      <c r="E104" s="565"/>
      <c r="F104" s="565"/>
      <c r="G104" s="565"/>
      <c r="H104" s="565"/>
      <c r="I104" s="565"/>
      <c r="J104" s="565"/>
      <c r="K104" s="565"/>
      <c r="L104" s="565"/>
      <c r="M104" s="565"/>
      <c r="O104" s="51"/>
      <c r="P104" s="51"/>
      <c r="Q104" s="51"/>
      <c r="R104" s="51"/>
      <c r="S104" s="130"/>
    </row>
    <row r="105" spans="2:20">
      <c r="B105" s="38"/>
      <c r="C105" s="565"/>
      <c r="D105" s="565"/>
      <c r="E105" s="565"/>
      <c r="F105" s="565"/>
      <c r="G105" s="565"/>
      <c r="H105" s="565"/>
      <c r="I105" s="565"/>
      <c r="J105" s="565"/>
      <c r="K105" s="565"/>
      <c r="L105" s="565"/>
      <c r="M105" s="565"/>
      <c r="O105" s="51"/>
      <c r="P105" s="51"/>
      <c r="Q105" s="51"/>
      <c r="R105" s="51"/>
      <c r="S105" s="130"/>
    </row>
    <row r="106" spans="2:20">
      <c r="B106" s="38"/>
      <c r="C106" s="565"/>
      <c r="D106" s="565"/>
      <c r="E106" s="565"/>
      <c r="F106" s="565"/>
      <c r="G106" s="565"/>
      <c r="H106" s="565"/>
      <c r="I106" s="565"/>
      <c r="J106" s="565"/>
      <c r="K106" s="565"/>
      <c r="L106" s="565"/>
      <c r="M106" s="565"/>
      <c r="O106" s="51"/>
      <c r="P106" s="51"/>
      <c r="Q106" s="51"/>
      <c r="R106" s="51"/>
      <c r="S106" s="130"/>
      <c r="T106" s="4"/>
    </row>
    <row r="107" spans="2:20">
      <c r="B107" s="38"/>
      <c r="C107" s="565"/>
      <c r="D107" s="565"/>
      <c r="E107" s="565"/>
      <c r="F107" s="565"/>
      <c r="G107" s="565"/>
      <c r="H107" s="565"/>
      <c r="I107" s="565"/>
      <c r="J107" s="565"/>
      <c r="K107" s="565"/>
      <c r="L107" s="565"/>
      <c r="M107" s="565"/>
      <c r="O107" s="51"/>
      <c r="P107" s="51"/>
      <c r="Q107" s="51"/>
      <c r="R107" s="51"/>
      <c r="S107" s="130"/>
      <c r="T107" s="4"/>
    </row>
    <row r="108" spans="2:20">
      <c r="C108" s="38"/>
      <c r="D108" s="38"/>
      <c r="E108" s="38"/>
      <c r="F108" s="38"/>
      <c r="G108" s="38"/>
      <c r="H108" s="38"/>
      <c r="I108" s="38"/>
      <c r="J108" s="38"/>
      <c r="K108" s="38"/>
      <c r="L108" s="22"/>
      <c r="M108" s="38"/>
      <c r="O108" s="51"/>
      <c r="P108" s="130"/>
      <c r="Q108" s="130"/>
      <c r="R108" s="51"/>
      <c r="S108" s="130"/>
      <c r="T108" s="4"/>
    </row>
    <row r="109" spans="2:20">
      <c r="C109" s="38" t="s">
        <v>1</v>
      </c>
      <c r="D109" s="22">
        <v>15450000</v>
      </c>
      <c r="E109" s="38"/>
      <c r="F109" s="38"/>
      <c r="G109" s="38"/>
      <c r="H109" s="38"/>
      <c r="I109" s="38"/>
      <c r="J109" s="38"/>
      <c r="K109" s="38"/>
      <c r="L109" s="22"/>
      <c r="M109" s="38"/>
      <c r="O109" s="51"/>
      <c r="P109" s="130"/>
      <c r="Q109" s="130"/>
      <c r="R109" s="51"/>
      <c r="S109" s="130"/>
      <c r="T109" s="4"/>
    </row>
    <row r="110" spans="2:20">
      <c r="C110" s="38" t="s">
        <v>2</v>
      </c>
      <c r="D110" s="22">
        <v>5450000</v>
      </c>
      <c r="E110" s="38"/>
      <c r="F110" s="38"/>
      <c r="G110" s="38"/>
      <c r="H110" s="38"/>
      <c r="I110" s="38"/>
      <c r="J110" s="38"/>
      <c r="K110" s="38"/>
      <c r="L110" s="22"/>
      <c r="M110" s="38"/>
      <c r="O110" s="51"/>
      <c r="P110" s="130"/>
      <c r="Q110" s="130"/>
      <c r="R110" s="51"/>
      <c r="S110" s="130"/>
    </row>
    <row r="111" spans="2:20">
      <c r="C111" s="38" t="s">
        <v>3</v>
      </c>
      <c r="D111" s="22">
        <v>20150000</v>
      </c>
      <c r="E111" s="38"/>
      <c r="F111" s="38"/>
      <c r="G111" s="38"/>
      <c r="H111" s="38"/>
      <c r="I111" s="38"/>
      <c r="J111" s="38"/>
      <c r="K111" s="38"/>
      <c r="L111" s="22"/>
      <c r="M111" s="38"/>
      <c r="O111" s="51"/>
      <c r="P111" s="130"/>
      <c r="Q111" s="130"/>
      <c r="R111" s="51"/>
      <c r="S111" s="130"/>
      <c r="T111" s="4"/>
    </row>
    <row r="112" spans="2:20">
      <c r="C112" s="38" t="s">
        <v>4</v>
      </c>
      <c r="D112" s="22">
        <v>19850000</v>
      </c>
      <c r="E112" s="38"/>
      <c r="F112" s="38"/>
      <c r="G112" s="38"/>
      <c r="H112" s="38"/>
      <c r="I112" s="38"/>
      <c r="J112" s="38"/>
      <c r="K112" s="38"/>
      <c r="L112" s="22"/>
      <c r="M112" s="38"/>
      <c r="O112" s="51"/>
      <c r="P112" s="130"/>
      <c r="Q112" s="51"/>
      <c r="R112" s="51"/>
      <c r="S112" s="130"/>
      <c r="T112" s="4"/>
    </row>
    <row r="113" spans="2:20">
      <c r="C113" s="38" t="s">
        <v>5</v>
      </c>
      <c r="D113" s="22" t="s">
        <v>6</v>
      </c>
      <c r="E113" s="38"/>
      <c r="F113" s="38"/>
      <c r="G113" s="38"/>
      <c r="H113" s="38"/>
      <c r="I113" s="38"/>
      <c r="J113" s="38"/>
      <c r="K113" s="38"/>
      <c r="L113" s="22"/>
      <c r="M113" s="38"/>
      <c r="O113" s="51"/>
      <c r="P113" s="51"/>
      <c r="Q113" s="51"/>
      <c r="R113" s="51"/>
      <c r="S113" s="51"/>
      <c r="T113" s="4"/>
    </row>
    <row r="114" spans="2:20">
      <c r="C114" s="38"/>
      <c r="D114" s="38"/>
      <c r="E114" s="38"/>
      <c r="F114" s="38"/>
      <c r="G114" s="38"/>
      <c r="H114" s="38"/>
      <c r="I114" s="38"/>
      <c r="J114" s="38"/>
      <c r="K114" s="38"/>
      <c r="L114" s="22"/>
      <c r="M114" s="38"/>
      <c r="O114" s="51"/>
      <c r="P114" s="51"/>
      <c r="Q114" s="51"/>
      <c r="R114" s="51"/>
      <c r="S114" s="51"/>
      <c r="T114" s="4"/>
    </row>
    <row r="115" spans="2:20">
      <c r="C115" s="38"/>
      <c r="D115" s="38"/>
      <c r="E115" s="38"/>
      <c r="F115" s="38"/>
      <c r="G115" s="38"/>
      <c r="H115" s="38"/>
      <c r="I115" s="38"/>
      <c r="J115" s="38"/>
      <c r="K115" s="38"/>
      <c r="L115" s="22"/>
      <c r="M115" s="38"/>
      <c r="O115" s="51"/>
      <c r="P115" s="51"/>
      <c r="Q115" s="51"/>
      <c r="R115" s="51"/>
      <c r="S115" s="51"/>
      <c r="T115" s="4"/>
    </row>
    <row r="116" spans="2:20">
      <c r="B116" s="214">
        <v>10</v>
      </c>
      <c r="C116" s="214" t="s">
        <v>361</v>
      </c>
      <c r="D116" s="38"/>
      <c r="E116" s="38"/>
      <c r="F116" s="38"/>
      <c r="G116" s="38"/>
      <c r="H116" s="38"/>
      <c r="I116" s="38"/>
      <c r="J116" s="38"/>
      <c r="K116" s="38"/>
      <c r="L116" s="22"/>
      <c r="M116" s="38"/>
      <c r="O116" s="51"/>
      <c r="P116" s="51"/>
      <c r="Q116" s="51"/>
      <c r="R116" s="51"/>
      <c r="S116" s="51"/>
    </row>
    <row r="117" spans="2:20">
      <c r="B117" s="38"/>
      <c r="C117" s="565" t="s">
        <v>652</v>
      </c>
      <c r="D117" s="565"/>
      <c r="E117" s="565"/>
      <c r="F117" s="565"/>
      <c r="G117" s="565"/>
      <c r="H117" s="565"/>
      <c r="I117" s="565"/>
      <c r="J117" s="565"/>
      <c r="K117" s="565"/>
      <c r="L117" s="565"/>
      <c r="M117" s="565"/>
      <c r="O117" s="51"/>
      <c r="P117" s="130"/>
      <c r="Q117" s="200"/>
      <c r="R117" s="51"/>
      <c r="S117" s="51"/>
    </row>
    <row r="118" spans="2:20">
      <c r="B118" s="38"/>
      <c r="C118" s="565"/>
      <c r="D118" s="565"/>
      <c r="E118" s="565"/>
      <c r="F118" s="565"/>
      <c r="G118" s="565"/>
      <c r="H118" s="565"/>
      <c r="I118" s="565"/>
      <c r="J118" s="565"/>
      <c r="K118" s="565"/>
      <c r="L118" s="565"/>
      <c r="M118" s="565"/>
      <c r="O118" s="51"/>
      <c r="P118" s="130"/>
      <c r="Q118" s="200"/>
      <c r="R118" s="51"/>
      <c r="S118" s="51"/>
    </row>
    <row r="119" spans="2:20">
      <c r="B119" s="38"/>
      <c r="C119" s="565"/>
      <c r="D119" s="565"/>
      <c r="E119" s="565"/>
      <c r="F119" s="565"/>
      <c r="G119" s="565"/>
      <c r="H119" s="565"/>
      <c r="I119" s="565"/>
      <c r="J119" s="565"/>
      <c r="K119" s="565"/>
      <c r="L119" s="565"/>
      <c r="M119" s="565"/>
      <c r="O119" s="51"/>
      <c r="P119" s="130"/>
      <c r="Q119" s="130"/>
      <c r="R119" s="51"/>
      <c r="S119" s="51"/>
    </row>
    <row r="120" spans="2:20">
      <c r="C120" s="38"/>
      <c r="D120" s="38"/>
      <c r="E120" s="38"/>
      <c r="F120" s="38"/>
      <c r="G120" s="38"/>
      <c r="H120" s="38"/>
      <c r="I120" s="38"/>
      <c r="J120" s="38"/>
      <c r="K120" s="38"/>
      <c r="L120" s="22"/>
      <c r="M120" s="38"/>
      <c r="O120" s="51"/>
      <c r="P120" s="130"/>
      <c r="Q120" s="51"/>
      <c r="R120" s="51"/>
      <c r="S120" s="51"/>
    </row>
    <row r="121" spans="2:20">
      <c r="C121" s="38" t="s">
        <v>1</v>
      </c>
      <c r="D121" s="22">
        <v>8575000</v>
      </c>
      <c r="E121" s="38"/>
      <c r="F121" s="38"/>
      <c r="G121" s="38"/>
      <c r="H121" s="38"/>
      <c r="I121" s="38"/>
      <c r="J121" s="38"/>
      <c r="K121" s="38"/>
      <c r="L121" s="22"/>
      <c r="M121" s="38"/>
      <c r="O121" s="564"/>
      <c r="P121" s="564"/>
      <c r="Q121" s="564"/>
      <c r="R121" s="564"/>
      <c r="S121" s="51"/>
    </row>
    <row r="122" spans="2:20">
      <c r="C122" s="38" t="s">
        <v>2</v>
      </c>
      <c r="D122" s="22">
        <v>1409589</v>
      </c>
      <c r="E122" s="38"/>
      <c r="F122" s="38"/>
      <c r="G122" s="38"/>
      <c r="H122" s="38"/>
      <c r="I122" s="38"/>
      <c r="J122" s="38"/>
      <c r="K122" s="38"/>
      <c r="L122" s="22"/>
      <c r="M122" s="38"/>
      <c r="O122" s="564"/>
      <c r="P122" s="564"/>
      <c r="Q122" s="564"/>
      <c r="R122" s="564"/>
      <c r="S122" s="51"/>
    </row>
    <row r="123" spans="2:20">
      <c r="C123" s="38" t="s">
        <v>3</v>
      </c>
      <c r="D123" s="22">
        <v>1429167</v>
      </c>
      <c r="E123" s="38"/>
      <c r="F123" s="38"/>
      <c r="G123" s="38"/>
      <c r="H123" s="38"/>
      <c r="I123" s="38"/>
      <c r="J123" s="38"/>
      <c r="K123" s="38"/>
      <c r="L123" s="22"/>
      <c r="M123" s="38"/>
      <c r="O123" s="564"/>
      <c r="P123" s="564"/>
      <c r="Q123" s="564"/>
      <c r="R123" s="564"/>
      <c r="S123" s="51"/>
    </row>
    <row r="124" spans="2:20">
      <c r="C124" s="38" t="s">
        <v>4</v>
      </c>
      <c r="D124" s="22">
        <v>714583</v>
      </c>
      <c r="E124" s="38"/>
      <c r="F124" s="38"/>
      <c r="G124" s="38"/>
      <c r="H124" s="38"/>
      <c r="I124" s="38"/>
      <c r="J124" s="38"/>
      <c r="K124" s="38"/>
      <c r="L124" s="22"/>
      <c r="M124" s="38"/>
      <c r="O124" s="51"/>
      <c r="P124" s="51"/>
      <c r="Q124" s="51"/>
      <c r="R124" s="51"/>
      <c r="S124" s="548"/>
    </row>
    <row r="125" spans="2:20">
      <c r="C125" s="38" t="s">
        <v>5</v>
      </c>
      <c r="D125" s="201" t="s">
        <v>6</v>
      </c>
      <c r="E125" s="38"/>
      <c r="F125" s="38"/>
      <c r="G125" s="38"/>
      <c r="H125" s="38"/>
      <c r="I125" s="38"/>
      <c r="J125" s="38"/>
      <c r="K125" s="38"/>
      <c r="L125" s="22"/>
      <c r="M125" s="38"/>
      <c r="O125" s="51"/>
      <c r="P125" s="51"/>
      <c r="Q125" s="51"/>
      <c r="R125" s="51"/>
      <c r="S125" s="51"/>
    </row>
    <row r="126" spans="2:20">
      <c r="C126" s="38"/>
      <c r="D126" s="38"/>
      <c r="E126" s="38"/>
      <c r="F126" s="38"/>
      <c r="G126" s="38"/>
      <c r="H126" s="38"/>
      <c r="I126" s="38"/>
      <c r="J126" s="38"/>
      <c r="K126" s="38"/>
      <c r="L126" s="22"/>
      <c r="M126" s="38"/>
    </row>
    <row r="127" spans="2:20">
      <c r="C127" s="38"/>
      <c r="D127" s="38"/>
      <c r="E127" s="38"/>
      <c r="F127" s="38"/>
      <c r="G127" s="38"/>
      <c r="H127" s="38"/>
      <c r="I127" s="38"/>
      <c r="J127" s="38"/>
      <c r="K127" s="38"/>
      <c r="L127" s="22"/>
      <c r="M127" s="38"/>
    </row>
  </sheetData>
  <mergeCells count="14">
    <mergeCell ref="O121:R123"/>
    <mergeCell ref="C21:M21"/>
    <mergeCell ref="C30:M33"/>
    <mergeCell ref="C42:M43"/>
    <mergeCell ref="C103:M107"/>
    <mergeCell ref="C62:M64"/>
    <mergeCell ref="C73:M74"/>
    <mergeCell ref="C83:M83"/>
    <mergeCell ref="C91:M94"/>
    <mergeCell ref="O91:R93"/>
    <mergeCell ref="C117:M119"/>
    <mergeCell ref="C52:M54"/>
    <mergeCell ref="D76:M76"/>
    <mergeCell ref="D79:M79"/>
  </mergeCells>
  <pageMargins left="0.70866141732283472" right="0.70866141732283472" top="0.74803149606299213" bottom="0.74803149606299213" header="0.31496062992125984" footer="0.31496062992125984"/>
  <pageSetup paperSize="9" firstPageNumber="2" orientation="portrait" useFirstPageNumber="1" r:id="rId1"/>
  <headerFooter>
    <oddFooter>&amp;L&amp;"-,Bold"Prófnefnd viðurkenndra bókara: &amp;C&amp;"-,Bold"&amp;P&amp;R&amp;"-,Bold"&amp;D</oddFooter>
  </headerFooter>
  <rowBreaks count="1" manualBreakCount="1">
    <brk id="100" min="1" max="12"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theme="4" tint="-0.249977111117893"/>
  </sheetPr>
  <dimension ref="A1:I50"/>
  <sheetViews>
    <sheetView zoomScale="115" zoomScaleNormal="115" zoomScaleSheetLayoutView="100" zoomScalePageLayoutView="77" workbookViewId="0"/>
  </sheetViews>
  <sheetFormatPr defaultRowHeight="15"/>
  <cols>
    <col min="1" max="1" width="6.7109375" customWidth="1"/>
    <col min="2" max="2" width="39.140625" customWidth="1"/>
    <col min="6" max="6" width="15.42578125" customWidth="1"/>
    <col min="7" max="7" width="13.7109375" customWidth="1"/>
  </cols>
  <sheetData>
    <row r="1" spans="1:4">
      <c r="B1" s="171"/>
      <c r="C1" s="139" t="s">
        <v>297</v>
      </c>
      <c r="D1" s="511" t="s">
        <v>208</v>
      </c>
    </row>
    <row r="2" spans="1:4">
      <c r="B2" t="s">
        <v>467</v>
      </c>
      <c r="C2" s="140"/>
      <c r="D2" s="141"/>
    </row>
    <row r="3" spans="1:4">
      <c r="B3" t="s">
        <v>468</v>
      </c>
      <c r="C3" s="140"/>
      <c r="D3" s="141"/>
    </row>
    <row r="4" spans="1:4">
      <c r="B4" t="s">
        <v>363</v>
      </c>
      <c r="C4" s="140"/>
      <c r="D4" s="141"/>
    </row>
    <row r="5" spans="1:4">
      <c r="B5" t="s">
        <v>469</v>
      </c>
      <c r="C5" s="170"/>
      <c r="D5" s="141"/>
    </row>
    <row r="6" spans="1:4">
      <c r="B6" s="38" t="s">
        <v>470</v>
      </c>
      <c r="C6" s="140"/>
      <c r="D6" s="141"/>
    </row>
    <row r="7" spans="1:4">
      <c r="B7" s="38" t="s">
        <v>471</v>
      </c>
      <c r="C7" s="140"/>
      <c r="D7" s="141"/>
    </row>
    <row r="8" spans="1:4">
      <c r="B8" s="38" t="s">
        <v>472</v>
      </c>
      <c r="C8" s="140"/>
      <c r="D8" s="141"/>
    </row>
    <row r="9" spans="1:4">
      <c r="B9" s="38" t="s">
        <v>362</v>
      </c>
      <c r="C9" s="140"/>
      <c r="D9" s="141"/>
    </row>
    <row r="10" spans="1:4">
      <c r="B10" s="14"/>
      <c r="C10" s="142"/>
      <c r="D10" s="506">
        <f>SUM(D2:D9)</f>
        <v>0</v>
      </c>
    </row>
    <row r="14" spans="1:4" ht="21">
      <c r="A14" s="513" t="s">
        <v>337</v>
      </c>
      <c r="B14" s="518"/>
    </row>
    <row r="16" spans="1:4" ht="15.75">
      <c r="A16" s="166" t="s">
        <v>209</v>
      </c>
    </row>
    <row r="20" spans="1:9">
      <c r="A20" s="2" t="s">
        <v>329</v>
      </c>
    </row>
    <row r="22" spans="1:9">
      <c r="A22" s="568" t="s">
        <v>359</v>
      </c>
      <c r="B22" s="568"/>
      <c r="C22" s="568"/>
      <c r="D22" s="568"/>
      <c r="E22" s="568"/>
      <c r="F22" s="568"/>
      <c r="G22" s="568"/>
      <c r="H22" s="568"/>
      <c r="I22" s="568"/>
    </row>
    <row r="23" spans="1:9">
      <c r="A23" s="568"/>
      <c r="B23" s="568"/>
      <c r="C23" s="568"/>
      <c r="D23" s="568"/>
      <c r="E23" s="568"/>
      <c r="F23" s="568"/>
      <c r="G23" s="568"/>
      <c r="H23" s="568"/>
      <c r="I23" s="568"/>
    </row>
    <row r="24" spans="1:9">
      <c r="A24" s="5"/>
      <c r="B24" s="5"/>
      <c r="C24" s="5"/>
      <c r="D24" s="5"/>
      <c r="E24" s="5"/>
      <c r="F24" s="5"/>
      <c r="G24" s="5"/>
      <c r="H24" s="5"/>
      <c r="I24" s="5"/>
    </row>
    <row r="25" spans="1:9">
      <c r="B25" s="81" t="s">
        <v>214</v>
      </c>
      <c r="C25" s="82"/>
      <c r="D25" s="82"/>
      <c r="E25" s="82"/>
      <c r="F25" s="83" t="s">
        <v>215</v>
      </c>
    </row>
    <row r="26" spans="1:9">
      <c r="B26" t="s">
        <v>467</v>
      </c>
      <c r="F26" s="51"/>
    </row>
    <row r="27" spans="1:9">
      <c r="B27" t="s">
        <v>468</v>
      </c>
      <c r="F27" s="51"/>
    </row>
    <row r="28" spans="1:9">
      <c r="B28" t="s">
        <v>363</v>
      </c>
      <c r="F28" s="51"/>
    </row>
    <row r="29" spans="1:9">
      <c r="B29" t="s">
        <v>469</v>
      </c>
      <c r="F29" s="51"/>
      <c r="G29" s="168"/>
    </row>
    <row r="30" spans="1:9">
      <c r="B30" s="38" t="s">
        <v>470</v>
      </c>
      <c r="F30" s="51"/>
    </row>
    <row r="31" spans="1:9">
      <c r="B31" s="38" t="s">
        <v>471</v>
      </c>
      <c r="F31" s="51"/>
    </row>
    <row r="32" spans="1:9">
      <c r="B32" s="38" t="s">
        <v>472</v>
      </c>
      <c r="F32" s="51"/>
    </row>
    <row r="33" spans="1:9">
      <c r="B33" s="38" t="s">
        <v>362</v>
      </c>
      <c r="F33" s="51"/>
    </row>
    <row r="35" spans="1:9">
      <c r="A35" s="155" t="s">
        <v>296</v>
      </c>
      <c r="B35" s="156"/>
      <c r="C35" s="156"/>
      <c r="D35" s="156"/>
      <c r="E35" s="156"/>
      <c r="F35" s="156"/>
      <c r="G35" s="156"/>
      <c r="H35" s="156"/>
      <c r="I35" s="156"/>
    </row>
    <row r="37" spans="1:9">
      <c r="A37" s="2" t="s">
        <v>329</v>
      </c>
    </row>
    <row r="39" spans="1:9">
      <c r="A39" s="568" t="s">
        <v>212</v>
      </c>
      <c r="B39" s="568"/>
      <c r="C39" s="568"/>
      <c r="D39" s="568"/>
      <c r="E39" s="568"/>
      <c r="F39" s="568"/>
      <c r="G39" s="568"/>
      <c r="H39" s="568"/>
      <c r="I39" s="568"/>
    </row>
    <row r="40" spans="1:9">
      <c r="A40" s="568"/>
      <c r="B40" s="568"/>
      <c r="C40" s="568"/>
      <c r="D40" s="568"/>
      <c r="E40" s="568"/>
      <c r="F40" s="568"/>
      <c r="G40" s="568"/>
      <c r="H40" s="568"/>
      <c r="I40" s="568"/>
    </row>
    <row r="41" spans="1:9">
      <c r="A41" s="134"/>
      <c r="B41" s="134"/>
      <c r="C41" s="134"/>
      <c r="D41" s="134"/>
      <c r="E41" s="134"/>
      <c r="F41" s="134"/>
      <c r="G41" s="134"/>
      <c r="H41" s="134"/>
      <c r="I41" s="134"/>
    </row>
    <row r="42" spans="1:9">
      <c r="B42" s="81" t="s">
        <v>214</v>
      </c>
      <c r="C42" s="82"/>
      <c r="D42" s="82"/>
      <c r="E42" s="82"/>
      <c r="F42" s="83" t="s">
        <v>215</v>
      </c>
    </row>
    <row r="43" spans="1:9">
      <c r="B43" t="s">
        <v>467</v>
      </c>
      <c r="F43" s="51"/>
    </row>
    <row r="44" spans="1:9">
      <c r="B44" t="s">
        <v>468</v>
      </c>
      <c r="F44" s="51"/>
    </row>
    <row r="45" spans="1:9">
      <c r="B45" t="s">
        <v>363</v>
      </c>
      <c r="F45" s="51"/>
    </row>
    <row r="46" spans="1:9">
      <c r="B46" t="s">
        <v>469</v>
      </c>
      <c r="F46" s="169"/>
    </row>
    <row r="47" spans="1:9">
      <c r="B47" s="38" t="s">
        <v>470</v>
      </c>
      <c r="F47" s="51"/>
    </row>
    <row r="48" spans="1:9">
      <c r="B48" s="38" t="s">
        <v>471</v>
      </c>
      <c r="F48" s="51"/>
    </row>
    <row r="49" spans="2:6">
      <c r="B49" s="38" t="s">
        <v>472</v>
      </c>
      <c r="F49" s="51"/>
    </row>
    <row r="50" spans="2:6">
      <c r="B50" s="38" t="s">
        <v>362</v>
      </c>
      <c r="F50" s="51"/>
    </row>
  </sheetData>
  <mergeCells count="2">
    <mergeCell ref="A39:I40"/>
    <mergeCell ref="A22:I23"/>
  </mergeCells>
  <pageMargins left="0.7" right="0.7" top="0.75" bottom="0.75" header="0.3" footer="0.3"/>
  <pageSetup paperSize="9" scale="70" orientation="portrait" r:id="rId1"/>
  <colBreaks count="1" manualBreakCount="1">
    <brk id="9"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tabColor theme="4" tint="-0.249977111117893"/>
  </sheetPr>
  <dimension ref="A1:S98"/>
  <sheetViews>
    <sheetView topLeftCell="A43" zoomScaleNormal="100" zoomScaleSheetLayoutView="100" workbookViewId="0">
      <selection activeCell="A61" sqref="A61"/>
    </sheetView>
  </sheetViews>
  <sheetFormatPr defaultRowHeight="15"/>
  <cols>
    <col min="1" max="1" width="3.5703125" customWidth="1"/>
    <col min="7" max="7" width="11.28515625" customWidth="1"/>
    <col min="8" max="8" width="14" style="4" bestFit="1" customWidth="1"/>
    <col min="9" max="9" width="13" customWidth="1"/>
    <col min="10" max="10" width="34.140625" style="9" customWidth="1"/>
    <col min="11" max="11" width="33" style="9" customWidth="1"/>
    <col min="12" max="12" width="11.5703125" customWidth="1"/>
    <col min="13" max="13" width="20.140625" customWidth="1"/>
    <col min="14" max="15" width="14.5703125" customWidth="1"/>
    <col min="16" max="16" width="12.5703125" bestFit="1" customWidth="1"/>
    <col min="17" max="17" width="16.7109375" customWidth="1"/>
    <col min="18" max="18" width="11" customWidth="1"/>
    <col min="19" max="19" width="15.42578125" customWidth="1"/>
    <col min="20" max="20" width="10.140625" bestFit="1" customWidth="1"/>
  </cols>
  <sheetData>
    <row r="1" spans="1:11">
      <c r="B1" s="2" t="s">
        <v>355</v>
      </c>
    </row>
    <row r="2" spans="1:11">
      <c r="A2">
        <v>1</v>
      </c>
      <c r="B2" s="38" t="s">
        <v>298</v>
      </c>
      <c r="C2" s="38"/>
      <c r="D2" s="38"/>
      <c r="E2" s="38"/>
      <c r="F2" s="38"/>
      <c r="G2" s="143"/>
      <c r="H2" s="144"/>
    </row>
    <row r="3" spans="1:11">
      <c r="A3">
        <v>2</v>
      </c>
      <c r="B3" s="38" t="s">
        <v>24</v>
      </c>
      <c r="C3" s="38"/>
      <c r="D3" s="38"/>
      <c r="E3" s="38"/>
      <c r="F3" s="38"/>
      <c r="G3" s="143"/>
      <c r="H3" s="144"/>
    </row>
    <row r="4" spans="1:11">
      <c r="A4">
        <f>+A3+1</f>
        <v>3</v>
      </c>
      <c r="B4" s="38" t="s">
        <v>27</v>
      </c>
      <c r="C4" s="38"/>
      <c r="D4" s="38"/>
      <c r="E4" s="38"/>
      <c r="F4" s="38"/>
      <c r="G4" s="143"/>
      <c r="H4" s="144"/>
      <c r="J4" s="18"/>
    </row>
    <row r="5" spans="1:11">
      <c r="A5">
        <f t="shared" ref="A5:A19" si="0">+A4+1</f>
        <v>4</v>
      </c>
      <c r="B5" s="38" t="s">
        <v>28</v>
      </c>
      <c r="C5" s="38"/>
      <c r="D5" s="38"/>
      <c r="E5" s="38"/>
      <c r="F5" s="38"/>
      <c r="G5" s="143"/>
      <c r="H5" s="144"/>
      <c r="J5" s="366"/>
      <c r="K5" s="366"/>
    </row>
    <row r="6" spans="1:11">
      <c r="A6">
        <f t="shared" si="0"/>
        <v>5</v>
      </c>
      <c r="B6" s="38" t="s">
        <v>39</v>
      </c>
      <c r="C6" s="38"/>
      <c r="D6" s="38"/>
      <c r="E6" s="38"/>
      <c r="F6" s="38"/>
      <c r="G6" s="143"/>
      <c r="H6" s="144"/>
      <c r="J6" s="366"/>
    </row>
    <row r="7" spans="1:11">
      <c r="A7">
        <f t="shared" si="0"/>
        <v>6</v>
      </c>
      <c r="B7" s="38" t="s">
        <v>26</v>
      </c>
      <c r="C7" s="38"/>
      <c r="D7" s="38"/>
      <c r="E7" s="38"/>
      <c r="F7" s="38"/>
      <c r="G7" s="143"/>
      <c r="H7" s="144"/>
    </row>
    <row r="8" spans="1:11">
      <c r="A8">
        <f t="shared" si="0"/>
        <v>7</v>
      </c>
      <c r="B8" s="38" t="s">
        <v>424</v>
      </c>
      <c r="C8" s="38"/>
      <c r="D8" s="38"/>
      <c r="E8" s="38"/>
      <c r="F8" s="38"/>
      <c r="G8" s="143"/>
      <c r="H8" s="144"/>
    </row>
    <row r="9" spans="1:11">
      <c r="A9">
        <f t="shared" si="0"/>
        <v>8</v>
      </c>
      <c r="B9" s="38" t="s">
        <v>441</v>
      </c>
      <c r="C9" s="38"/>
      <c r="D9" s="38"/>
      <c r="E9" s="38"/>
      <c r="F9" s="38"/>
      <c r="G9" s="143"/>
      <c r="H9" s="144"/>
    </row>
    <row r="10" spans="1:11">
      <c r="A10">
        <f t="shared" si="0"/>
        <v>9</v>
      </c>
      <c r="B10" s="38" t="s">
        <v>442</v>
      </c>
      <c r="C10" s="38"/>
      <c r="D10" s="38"/>
      <c r="E10" s="38"/>
      <c r="F10" s="38"/>
      <c r="G10" s="143"/>
      <c r="H10" s="144"/>
      <c r="J10" s="37"/>
      <c r="K10" s="177"/>
    </row>
    <row r="11" spans="1:11">
      <c r="A11">
        <f t="shared" si="0"/>
        <v>10</v>
      </c>
      <c r="B11" s="38" t="s">
        <v>445</v>
      </c>
      <c r="C11" s="38"/>
      <c r="D11" s="38"/>
      <c r="E11" s="38"/>
      <c r="F11" s="38"/>
      <c r="G11" s="143"/>
      <c r="H11" s="144"/>
    </row>
    <row r="12" spans="1:11">
      <c r="A12">
        <f t="shared" si="0"/>
        <v>11</v>
      </c>
      <c r="B12" s="38" t="s">
        <v>34</v>
      </c>
      <c r="C12" s="38"/>
      <c r="D12" s="38"/>
      <c r="E12" s="38"/>
      <c r="F12" s="38"/>
      <c r="G12" s="143"/>
      <c r="H12" s="144"/>
    </row>
    <row r="13" spans="1:11">
      <c r="A13">
        <f t="shared" si="0"/>
        <v>12</v>
      </c>
      <c r="B13" s="38" t="s">
        <v>35</v>
      </c>
      <c r="C13" s="38"/>
      <c r="D13" s="38"/>
      <c r="E13" s="38"/>
      <c r="F13" s="38"/>
      <c r="G13" s="143"/>
      <c r="H13" s="144"/>
    </row>
    <row r="14" spans="1:11">
      <c r="A14">
        <f t="shared" si="0"/>
        <v>13</v>
      </c>
      <c r="B14" s="38" t="s">
        <v>443</v>
      </c>
      <c r="C14" s="38"/>
      <c r="D14" s="38"/>
      <c r="E14" s="38"/>
      <c r="F14" s="38"/>
      <c r="G14" s="143"/>
      <c r="H14" s="144"/>
    </row>
    <row r="15" spans="1:11">
      <c r="A15">
        <f t="shared" si="0"/>
        <v>14</v>
      </c>
      <c r="B15" s="38" t="s">
        <v>36</v>
      </c>
      <c r="C15" s="38"/>
      <c r="D15" s="38"/>
      <c r="E15" s="38"/>
      <c r="F15" s="38"/>
      <c r="G15" s="143"/>
      <c r="H15" s="144"/>
    </row>
    <row r="16" spans="1:11">
      <c r="A16">
        <f t="shared" si="0"/>
        <v>15</v>
      </c>
      <c r="B16" s="38" t="s">
        <v>37</v>
      </c>
      <c r="C16" s="38"/>
      <c r="D16" s="38"/>
      <c r="E16" s="38"/>
      <c r="F16" s="38"/>
      <c r="G16" s="143"/>
      <c r="H16" s="144"/>
    </row>
    <row r="17" spans="1:13">
      <c r="A17">
        <f t="shared" si="0"/>
        <v>16</v>
      </c>
      <c r="B17" s="38" t="s">
        <v>432</v>
      </c>
      <c r="C17" s="38"/>
      <c r="D17" s="38"/>
      <c r="E17" s="38"/>
      <c r="F17" s="38"/>
      <c r="G17" s="143"/>
      <c r="H17" s="144"/>
    </row>
    <row r="18" spans="1:13">
      <c r="A18">
        <f t="shared" si="0"/>
        <v>17</v>
      </c>
      <c r="B18" s="38" t="s">
        <v>42</v>
      </c>
      <c r="C18" s="38"/>
      <c r="D18" s="38"/>
      <c r="E18" s="38"/>
      <c r="F18" s="38"/>
      <c r="G18" s="143"/>
      <c r="H18" s="144"/>
      <c r="K18" s="37"/>
    </row>
    <row r="19" spans="1:13">
      <c r="A19">
        <f t="shared" si="0"/>
        <v>18</v>
      </c>
      <c r="B19" s="38" t="s">
        <v>41</v>
      </c>
      <c r="C19" s="38"/>
      <c r="D19" s="38"/>
      <c r="E19" s="38"/>
      <c r="F19" s="38"/>
      <c r="G19" s="143"/>
      <c r="H19" s="144"/>
      <c r="K19" s="37"/>
    </row>
    <row r="20" spans="1:13">
      <c r="H20" s="507">
        <f>SUM(H2:H19)</f>
        <v>0</v>
      </c>
      <c r="K20" s="37"/>
    </row>
    <row r="21" spans="1:13">
      <c r="K21" s="37"/>
    </row>
    <row r="22" spans="1:13">
      <c r="K22" s="37"/>
    </row>
    <row r="23" spans="1:13" ht="21">
      <c r="A23" s="513" t="s">
        <v>338</v>
      </c>
      <c r="B23" s="518"/>
      <c r="C23" s="518"/>
      <c r="D23" s="518"/>
      <c r="E23" s="518"/>
      <c r="F23" s="518"/>
      <c r="K23" s="37"/>
    </row>
    <row r="24" spans="1:13">
      <c r="J24" s="7" t="s">
        <v>655</v>
      </c>
      <c r="K24" s="37"/>
    </row>
    <row r="25" spans="1:13" ht="15.75">
      <c r="A25" s="166" t="s">
        <v>7</v>
      </c>
      <c r="J25" s="9" t="s">
        <v>656</v>
      </c>
      <c r="K25" s="37"/>
    </row>
    <row r="26" spans="1:13">
      <c r="J26" s="7" t="s">
        <v>8</v>
      </c>
      <c r="K26" s="197"/>
    </row>
    <row r="27" spans="1:13">
      <c r="A27" t="s">
        <v>653</v>
      </c>
      <c r="J27" s="10"/>
      <c r="K27" s="197"/>
      <c r="M27" s="197"/>
    </row>
    <row r="28" spans="1:13">
      <c r="A28" s="569" t="s">
        <v>654</v>
      </c>
      <c r="B28" s="569"/>
      <c r="C28" s="569"/>
      <c r="D28" s="569"/>
      <c r="E28" s="569"/>
      <c r="F28" s="569"/>
      <c r="G28" s="569"/>
      <c r="H28" s="569"/>
      <c r="J28" s="11" t="s">
        <v>9</v>
      </c>
      <c r="K28" s="197">
        <v>1359000000</v>
      </c>
      <c r="M28" s="197"/>
    </row>
    <row r="29" spans="1:13">
      <c r="A29" s="569"/>
      <c r="B29" s="569"/>
      <c r="C29" s="569"/>
      <c r="D29" s="569"/>
      <c r="E29" s="569"/>
      <c r="F29" s="569"/>
      <c r="G29" s="569"/>
      <c r="H29" s="569"/>
      <c r="J29" s="11" t="s">
        <v>10</v>
      </c>
      <c r="K29" s="197">
        <v>26500000</v>
      </c>
      <c r="L29" s="9"/>
      <c r="M29" s="197"/>
    </row>
    <row r="30" spans="1:13">
      <c r="A30" s="569"/>
      <c r="B30" s="569"/>
      <c r="C30" s="569"/>
      <c r="D30" s="569"/>
      <c r="E30" s="569"/>
      <c r="F30" s="569"/>
      <c r="G30" s="569"/>
      <c r="H30" s="569"/>
      <c r="J30" s="12" t="s">
        <v>11</v>
      </c>
      <c r="K30" s="198">
        <f>SUM(K28:K29)</f>
        <v>1385500000</v>
      </c>
      <c r="L30" s="8"/>
      <c r="M30" s="197"/>
    </row>
    <row r="31" spans="1:13">
      <c r="A31" s="569"/>
      <c r="B31" s="569"/>
      <c r="C31" s="569"/>
      <c r="D31" s="569"/>
      <c r="E31" s="569"/>
      <c r="F31" s="569"/>
      <c r="G31" s="569"/>
      <c r="H31" s="569"/>
      <c r="J31" s="7" t="s">
        <v>12</v>
      </c>
      <c r="K31" s="197"/>
      <c r="L31" s="9"/>
      <c r="M31" s="197"/>
    </row>
    <row r="32" spans="1:13">
      <c r="A32" s="569"/>
      <c r="B32" s="569"/>
      <c r="C32" s="569"/>
      <c r="D32" s="569"/>
      <c r="E32" s="569"/>
      <c r="F32" s="569"/>
      <c r="G32" s="569"/>
      <c r="H32" s="569"/>
      <c r="J32" s="7"/>
      <c r="K32" s="197"/>
      <c r="L32" s="9"/>
      <c r="M32" s="197"/>
    </row>
    <row r="33" spans="1:17">
      <c r="A33" s="569"/>
      <c r="B33" s="569"/>
      <c r="C33" s="569"/>
      <c r="D33" s="569"/>
      <c r="E33" s="569"/>
      <c r="F33" s="569"/>
      <c r="G33" s="569"/>
      <c r="H33" s="569"/>
      <c r="J33" s="11" t="s">
        <v>13</v>
      </c>
      <c r="K33" s="197">
        <f>+K28*0.65</f>
        <v>883350000</v>
      </c>
      <c r="L33" s="9"/>
      <c r="M33" s="197"/>
    </row>
    <row r="34" spans="1:17">
      <c r="J34" s="11" t="s">
        <v>14</v>
      </c>
      <c r="K34" s="197">
        <f>+K28*0.2</f>
        <v>271800000</v>
      </c>
      <c r="M34" s="197"/>
    </row>
    <row r="35" spans="1:17">
      <c r="A35" s="2" t="s">
        <v>427</v>
      </c>
      <c r="J35" s="11" t="s">
        <v>15</v>
      </c>
      <c r="K35" s="197">
        <v>85000000</v>
      </c>
    </row>
    <row r="36" spans="1:17">
      <c r="A36" t="s">
        <v>25</v>
      </c>
      <c r="B36" s="565" t="s">
        <v>657</v>
      </c>
      <c r="C36" s="565"/>
      <c r="D36" s="565"/>
      <c r="E36" s="565"/>
      <c r="F36" s="565"/>
      <c r="G36" s="565"/>
      <c r="H36" s="565"/>
      <c r="J36" s="11" t="s">
        <v>429</v>
      </c>
      <c r="K36" s="197">
        <v>12000000</v>
      </c>
    </row>
    <row r="37" spans="1:17">
      <c r="B37" s="565"/>
      <c r="C37" s="565"/>
      <c r="D37" s="565"/>
      <c r="E37" s="565"/>
      <c r="F37" s="565"/>
      <c r="G37" s="565"/>
      <c r="H37" s="565"/>
      <c r="J37" s="11" t="s">
        <v>16</v>
      </c>
      <c r="K37" s="197">
        <v>33500000</v>
      </c>
    </row>
    <row r="38" spans="1:17">
      <c r="B38" s="565"/>
      <c r="C38" s="565"/>
      <c r="D38" s="565"/>
      <c r="E38" s="565"/>
      <c r="F38" s="565"/>
      <c r="G38" s="565"/>
      <c r="H38" s="565"/>
      <c r="J38" s="12" t="s">
        <v>17</v>
      </c>
      <c r="K38" s="198">
        <f>SUM(K33:K37)</f>
        <v>1285650000</v>
      </c>
    </row>
    <row r="39" spans="1:17">
      <c r="B39" s="195"/>
      <c r="C39" s="195"/>
      <c r="D39" s="195"/>
      <c r="E39" s="195"/>
      <c r="F39" s="195"/>
      <c r="G39" s="195"/>
      <c r="H39" s="195"/>
      <c r="J39" s="8"/>
      <c r="K39" s="197"/>
    </row>
    <row r="40" spans="1:17">
      <c r="A40" t="s">
        <v>30</v>
      </c>
      <c r="B40" s="565" t="s">
        <v>439</v>
      </c>
      <c r="C40" s="565"/>
      <c r="D40" s="565"/>
      <c r="E40" s="565"/>
      <c r="F40" s="565"/>
      <c r="G40" s="565"/>
      <c r="H40" s="565"/>
      <c r="J40" s="13" t="s">
        <v>23</v>
      </c>
      <c r="K40" s="197">
        <f>+K30-K38</f>
        <v>99850000</v>
      </c>
      <c r="N40" s="197"/>
      <c r="Q40" s="197"/>
    </row>
    <row r="41" spans="1:17">
      <c r="B41" s="565"/>
      <c r="C41" s="565"/>
      <c r="D41" s="565"/>
      <c r="E41" s="565"/>
      <c r="F41" s="565"/>
      <c r="G41" s="565"/>
      <c r="H41" s="565"/>
      <c r="J41" s="7"/>
      <c r="K41" s="197"/>
      <c r="M41" s="40"/>
      <c r="N41" s="197"/>
      <c r="P41" s="40"/>
      <c r="Q41" s="197"/>
    </row>
    <row r="42" spans="1:17">
      <c r="B42" s="38"/>
      <c r="C42" s="38"/>
      <c r="D42" s="38"/>
      <c r="E42" s="38"/>
      <c r="F42" s="38"/>
      <c r="G42" s="38"/>
      <c r="H42" s="22"/>
      <c r="J42" s="7" t="s">
        <v>18</v>
      </c>
      <c r="K42" s="197"/>
      <c r="N42" s="197"/>
      <c r="Q42" s="197"/>
    </row>
    <row r="43" spans="1:17">
      <c r="A43" t="s">
        <v>29</v>
      </c>
      <c r="B43" s="565" t="s">
        <v>658</v>
      </c>
      <c r="C43" s="565"/>
      <c r="D43" s="565"/>
      <c r="E43" s="565"/>
      <c r="F43" s="565"/>
      <c r="G43" s="565"/>
      <c r="H43" s="565"/>
      <c r="J43" s="11" t="s">
        <v>19</v>
      </c>
      <c r="K43" s="197">
        <v>10000000</v>
      </c>
      <c r="N43" s="197"/>
      <c r="Q43" s="197"/>
    </row>
    <row r="44" spans="1:17">
      <c r="B44" s="565"/>
      <c r="C44" s="565"/>
      <c r="D44" s="565"/>
      <c r="E44" s="565"/>
      <c r="F44" s="565"/>
      <c r="G44" s="565"/>
      <c r="H44" s="565"/>
      <c r="J44" s="11" t="s">
        <v>20</v>
      </c>
      <c r="K44" s="197">
        <v>2500000</v>
      </c>
    </row>
    <row r="45" spans="1:17">
      <c r="B45" s="176"/>
      <c r="C45" s="176"/>
      <c r="D45" s="176"/>
      <c r="E45" s="176"/>
      <c r="F45" s="176"/>
      <c r="G45" s="176"/>
      <c r="H45" s="176"/>
      <c r="J45" s="11" t="s">
        <v>21</v>
      </c>
      <c r="K45" s="197">
        <v>-18500000</v>
      </c>
    </row>
    <row r="46" spans="1:17">
      <c r="A46" t="s">
        <v>33</v>
      </c>
      <c r="B46" s="570" t="s">
        <v>659</v>
      </c>
      <c r="C46" s="570"/>
      <c r="D46" s="570"/>
      <c r="E46" s="570"/>
      <c r="F46" s="570"/>
      <c r="G46" s="570"/>
      <c r="H46" s="570"/>
      <c r="J46" s="11" t="s">
        <v>31</v>
      </c>
      <c r="K46" s="197">
        <v>2500000</v>
      </c>
      <c r="N46" s="4"/>
      <c r="Q46" s="4"/>
    </row>
    <row r="47" spans="1:17">
      <c r="B47" s="570"/>
      <c r="C47" s="570"/>
      <c r="D47" s="570"/>
      <c r="E47" s="570"/>
      <c r="F47" s="570"/>
      <c r="G47" s="570"/>
      <c r="H47" s="570"/>
      <c r="J47" s="12" t="s">
        <v>22</v>
      </c>
      <c r="K47" s="198">
        <f>SUM(K43:K46)</f>
        <v>-3500000</v>
      </c>
      <c r="N47" s="4"/>
      <c r="Q47" s="4"/>
    </row>
    <row r="48" spans="1:17">
      <c r="B48" s="570"/>
      <c r="C48" s="570"/>
      <c r="D48" s="570"/>
      <c r="E48" s="570"/>
      <c r="F48" s="570"/>
      <c r="G48" s="570"/>
      <c r="H48" s="570"/>
      <c r="J48" s="12"/>
      <c r="K48" s="197"/>
      <c r="N48" s="4"/>
    </row>
    <row r="49" spans="1:19">
      <c r="B49" s="570"/>
      <c r="C49" s="570"/>
      <c r="D49" s="570"/>
      <c r="E49" s="570"/>
      <c r="F49" s="570"/>
      <c r="G49" s="570"/>
      <c r="H49" s="570"/>
      <c r="J49" s="13" t="s">
        <v>350</v>
      </c>
      <c r="K49" s="197">
        <f>+K40+K47</f>
        <v>96350000</v>
      </c>
      <c r="N49" s="4"/>
    </row>
    <row r="50" spans="1:19">
      <c r="B50" s="570"/>
      <c r="C50" s="570"/>
      <c r="D50" s="570"/>
      <c r="E50" s="570"/>
      <c r="F50" s="570"/>
      <c r="G50" s="570"/>
      <c r="H50" s="570"/>
    </row>
    <row r="51" spans="1:19">
      <c r="B51" s="176"/>
      <c r="C51" s="176"/>
      <c r="D51" s="176"/>
      <c r="E51" s="176"/>
      <c r="F51" s="176"/>
      <c r="G51" s="176"/>
      <c r="H51" s="176"/>
    </row>
    <row r="52" spans="1:19" ht="15" customHeight="1">
      <c r="A52" t="s">
        <v>38</v>
      </c>
      <c r="B52" s="565" t="s">
        <v>440</v>
      </c>
      <c r="C52" s="565"/>
      <c r="D52" s="565"/>
      <c r="E52" s="565"/>
      <c r="F52" s="565"/>
      <c r="G52" s="565"/>
      <c r="H52" s="565"/>
    </row>
    <row r="53" spans="1:19">
      <c r="B53" s="176"/>
      <c r="C53" s="176"/>
      <c r="D53" s="176"/>
      <c r="E53" s="176"/>
      <c r="F53" s="176"/>
      <c r="G53" s="176"/>
      <c r="H53" s="176"/>
    </row>
    <row r="54" spans="1:19">
      <c r="A54" t="s">
        <v>40</v>
      </c>
      <c r="B54" s="565" t="s">
        <v>660</v>
      </c>
      <c r="C54" s="565"/>
      <c r="D54" s="565"/>
      <c r="E54" s="565"/>
      <c r="F54" s="565"/>
      <c r="G54" s="565"/>
      <c r="H54" s="565"/>
    </row>
    <row r="55" spans="1:19">
      <c r="B55" s="565"/>
      <c r="C55" s="565"/>
      <c r="D55" s="565"/>
      <c r="E55" s="565"/>
      <c r="F55" s="565"/>
      <c r="G55" s="565"/>
      <c r="H55" s="565"/>
    </row>
    <row r="56" spans="1:19">
      <c r="A56" s="2"/>
      <c r="B56" s="176"/>
      <c r="C56" s="176"/>
      <c r="D56" s="176"/>
      <c r="E56" s="176"/>
      <c r="F56" s="176"/>
      <c r="G56" s="176"/>
      <c r="H56" s="176"/>
    </row>
    <row r="57" spans="1:19">
      <c r="A57" t="s">
        <v>444</v>
      </c>
      <c r="B57" s="565" t="s">
        <v>661</v>
      </c>
      <c r="C57" s="565"/>
      <c r="D57" s="565"/>
      <c r="E57" s="565"/>
      <c r="F57" s="565"/>
      <c r="G57" s="565"/>
      <c r="H57" s="565"/>
    </row>
    <row r="58" spans="1:19">
      <c r="B58" s="565"/>
      <c r="C58" s="565"/>
      <c r="D58" s="565"/>
      <c r="E58" s="565"/>
      <c r="F58" s="565"/>
      <c r="G58" s="565"/>
      <c r="H58" s="565"/>
    </row>
    <row r="59" spans="1:19">
      <c r="B59" s="365"/>
      <c r="C59" s="365"/>
      <c r="D59" s="365"/>
      <c r="E59" s="365"/>
      <c r="F59" s="365"/>
      <c r="G59" s="365"/>
      <c r="H59" s="365"/>
    </row>
    <row r="60" spans="1:19">
      <c r="A60" s="155" t="s">
        <v>698</v>
      </c>
      <c r="B60" s="156"/>
      <c r="C60" s="156"/>
      <c r="D60" s="156"/>
      <c r="E60" s="156"/>
      <c r="F60" s="156"/>
      <c r="G60" s="156"/>
      <c r="H60" s="157"/>
      <c r="I60" s="156"/>
      <c r="J60" s="158"/>
      <c r="K60" s="158"/>
      <c r="L60" s="156"/>
      <c r="M60" s="557" t="s">
        <v>423</v>
      </c>
      <c r="N60" s="156"/>
      <c r="O60" s="156"/>
      <c r="P60" s="156"/>
      <c r="Q60" s="156"/>
      <c r="R60" s="156"/>
      <c r="S60" s="156"/>
    </row>
    <row r="61" spans="1:19">
      <c r="A61" t="s">
        <v>428</v>
      </c>
      <c r="H61" s="4">
        <v>0</v>
      </c>
      <c r="N61" s="21"/>
      <c r="O61" s="21"/>
    </row>
    <row r="62" spans="1:19">
      <c r="M62" s="2"/>
      <c r="N62" s="8"/>
      <c r="O62" s="8"/>
    </row>
    <row r="63" spans="1:19">
      <c r="M63" s="2"/>
      <c r="N63" s="8"/>
      <c r="O63" s="8"/>
    </row>
    <row r="64" spans="1:19">
      <c r="H64" s="28"/>
      <c r="I64" s="38"/>
      <c r="J64" s="145"/>
      <c r="M64" s="2"/>
      <c r="N64" s="8"/>
      <c r="O64" s="8"/>
    </row>
    <row r="65" spans="8:15">
      <c r="M65" s="2"/>
      <c r="N65" s="8"/>
      <c r="O65" s="8"/>
    </row>
    <row r="66" spans="8:15">
      <c r="M66" s="2"/>
      <c r="N66" s="8"/>
      <c r="O66" s="8"/>
    </row>
    <row r="67" spans="8:15">
      <c r="M67" s="2"/>
      <c r="N67" s="8"/>
      <c r="O67" s="8"/>
    </row>
    <row r="68" spans="8:15">
      <c r="H68" s="22"/>
      <c r="M68" s="2"/>
      <c r="N68" s="8"/>
      <c r="O68" s="8"/>
    </row>
    <row r="69" spans="8:15">
      <c r="H69" s="22"/>
      <c r="M69" s="2"/>
      <c r="N69" s="8"/>
      <c r="O69" s="8"/>
    </row>
    <row r="70" spans="8:15">
      <c r="H70" s="22"/>
      <c r="M70" s="2"/>
      <c r="N70" s="8"/>
      <c r="O70" s="8"/>
    </row>
    <row r="71" spans="8:15">
      <c r="H71" s="22"/>
      <c r="M71" s="2"/>
      <c r="N71" s="8"/>
      <c r="O71" s="8"/>
    </row>
    <row r="72" spans="8:15">
      <c r="H72" s="22"/>
      <c r="M72" s="2"/>
      <c r="N72" s="8"/>
      <c r="O72" s="8"/>
    </row>
    <row r="73" spans="8:15">
      <c r="H73" s="22"/>
      <c r="M73" s="2"/>
      <c r="N73" s="8"/>
      <c r="O73" s="8"/>
    </row>
    <row r="74" spans="8:15">
      <c r="H74" s="22"/>
      <c r="J74" s="16"/>
      <c r="M74" s="2"/>
      <c r="N74" s="8"/>
      <c r="O74" s="8"/>
    </row>
    <row r="75" spans="8:15">
      <c r="H75" s="22"/>
      <c r="M75" s="2"/>
      <c r="N75" s="8"/>
      <c r="O75" s="8"/>
    </row>
    <row r="76" spans="8:15">
      <c r="H76" s="22"/>
    </row>
    <row r="77" spans="8:15">
      <c r="H77" s="22"/>
    </row>
    <row r="78" spans="8:15">
      <c r="H78" s="22"/>
      <c r="J78" s="17"/>
    </row>
    <row r="79" spans="8:15" ht="16.5" customHeight="1">
      <c r="H79" s="22"/>
      <c r="J79" s="17"/>
    </row>
    <row r="80" spans="8:15">
      <c r="H80" s="22"/>
    </row>
    <row r="81" spans="1:19">
      <c r="H81" s="22"/>
      <c r="O81" s="40"/>
    </row>
    <row r="82" spans="1:19">
      <c r="H82" s="22"/>
      <c r="M82" s="2"/>
    </row>
    <row r="83" spans="1:19">
      <c r="H83" s="22"/>
      <c r="N83" s="4"/>
      <c r="O83" s="4"/>
      <c r="P83" s="4"/>
      <c r="Q83" s="4"/>
      <c r="R83" s="4"/>
      <c r="S83" s="4"/>
    </row>
    <row r="84" spans="1:19">
      <c r="H84" s="22"/>
    </row>
    <row r="85" spans="1:19">
      <c r="H85" s="22"/>
      <c r="R85" s="4"/>
    </row>
    <row r="86" spans="1:19">
      <c r="H86" s="22"/>
      <c r="R86" s="4"/>
    </row>
    <row r="87" spans="1:19">
      <c r="H87" s="22"/>
    </row>
    <row r="88" spans="1:19">
      <c r="H88" s="22"/>
    </row>
    <row r="89" spans="1:19">
      <c r="H89" s="22"/>
    </row>
    <row r="90" spans="1:19">
      <c r="H90" s="22"/>
    </row>
    <row r="91" spans="1:19">
      <c r="H91" s="22"/>
      <c r="M91" s="2"/>
    </row>
    <row r="92" spans="1:19">
      <c r="H92" s="22"/>
      <c r="N92" s="356"/>
    </row>
    <row r="93" spans="1:19">
      <c r="H93" s="22"/>
      <c r="N93" s="4"/>
    </row>
    <row r="94" spans="1:19">
      <c r="N94" s="4"/>
    </row>
    <row r="95" spans="1:19" ht="15.75" thickBot="1">
      <c r="A95" s="2"/>
      <c r="H95" s="19"/>
      <c r="N95" s="4"/>
    </row>
    <row r="96" spans="1:19" ht="15.75" thickTop="1"/>
    <row r="97" spans="1:8" ht="15.75" thickBot="1">
      <c r="A97" s="367"/>
      <c r="B97" s="367"/>
      <c r="C97" s="367"/>
      <c r="D97" s="367"/>
      <c r="E97" s="367"/>
      <c r="F97" s="367"/>
      <c r="G97" s="368"/>
      <c r="H97" s="369"/>
    </row>
    <row r="98" spans="1:8" ht="15.75" thickTop="1"/>
  </sheetData>
  <mergeCells count="8">
    <mergeCell ref="B57:H58"/>
    <mergeCell ref="B52:H52"/>
    <mergeCell ref="B54:H55"/>
    <mergeCell ref="A28:H33"/>
    <mergeCell ref="B40:H41"/>
    <mergeCell ref="B43:H44"/>
    <mergeCell ref="B46:H50"/>
    <mergeCell ref="B36:H38"/>
  </mergeCells>
  <pageMargins left="0.7" right="0.7" top="0.75" bottom="0.75" header="0.3" footer="0.3"/>
  <pageSetup paperSize="9" scale="71" orientation="portrait" r:id="rId1"/>
  <rowBreaks count="2" manualBreakCount="2">
    <brk id="21" max="16383" man="1"/>
    <brk id="56" max="16383" man="1"/>
  </rowBreaks>
  <colBreaks count="2" manualBreakCount="2">
    <brk id="9" max="1048575" man="1"/>
    <brk id="12"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4" tint="-0.249977111117893"/>
  </sheetPr>
  <dimension ref="A1:U74"/>
  <sheetViews>
    <sheetView topLeftCell="B1" workbookViewId="0">
      <selection activeCell="O24" sqref="O24"/>
    </sheetView>
  </sheetViews>
  <sheetFormatPr defaultRowHeight="15"/>
  <cols>
    <col min="1" max="1" width="26.28515625" style="29" bestFit="1" customWidth="1"/>
    <col min="2" max="2" width="4.5703125" style="29" customWidth="1"/>
    <col min="3" max="6" width="9.28515625" style="29" bestFit="1" customWidth="1"/>
    <col min="7" max="7" width="20.85546875" style="29" bestFit="1" customWidth="1"/>
    <col min="8" max="8" width="12.140625" style="29" customWidth="1"/>
    <col min="9" max="9" width="11.28515625" style="29" bestFit="1" customWidth="1"/>
    <col min="11" max="11" width="4.7109375" style="102" bestFit="1" customWidth="1"/>
    <col min="12" max="12" width="11.28515625" style="84" customWidth="1"/>
    <col min="13" max="13" width="35" style="84" bestFit="1" customWidth="1"/>
    <col min="14" max="14" width="12" style="109" customWidth="1"/>
    <col min="15" max="15" width="10.140625" style="114" bestFit="1" customWidth="1"/>
    <col min="16" max="16" width="10.140625" style="1" bestFit="1" customWidth="1"/>
    <col min="17" max="17" width="10.85546875" style="87" customWidth="1"/>
    <col min="18" max="18" width="10.85546875" style="1" bestFit="1" customWidth="1"/>
    <col min="19" max="19" width="12.5703125" customWidth="1"/>
    <col min="20" max="20" width="18.5703125" bestFit="1" customWidth="1"/>
  </cols>
  <sheetData>
    <row r="1" spans="1:5">
      <c r="E1" s="30"/>
    </row>
    <row r="2" spans="1:5">
      <c r="A2" s="30" t="s">
        <v>324</v>
      </c>
      <c r="B2" s="30"/>
      <c r="C2" s="30"/>
      <c r="D2" s="186"/>
      <c r="E2" s="30"/>
    </row>
    <row r="3" spans="1:5">
      <c r="A3" s="30" t="s">
        <v>299</v>
      </c>
      <c r="B3" s="30"/>
      <c r="C3" s="30"/>
      <c r="D3" s="186"/>
      <c r="E3" s="30"/>
    </row>
    <row r="4" spans="1:5">
      <c r="A4" s="30" t="s">
        <v>253</v>
      </c>
      <c r="B4" s="30"/>
      <c r="C4" s="30"/>
      <c r="D4" s="186"/>
      <c r="E4" s="30"/>
    </row>
    <row r="5" spans="1:5">
      <c r="A5" s="30" t="s">
        <v>300</v>
      </c>
      <c r="B5" s="30"/>
      <c r="C5" s="30"/>
      <c r="D5" s="186"/>
      <c r="E5" s="30"/>
    </row>
    <row r="6" spans="1:5">
      <c r="A6" s="30" t="s">
        <v>301</v>
      </c>
      <c r="B6" s="30"/>
      <c r="C6" s="30"/>
      <c r="D6" s="187"/>
      <c r="E6" s="30"/>
    </row>
    <row r="7" spans="1:5">
      <c r="A7" s="30" t="s">
        <v>323</v>
      </c>
      <c r="B7" s="30"/>
      <c r="C7" s="30"/>
      <c r="D7" s="187"/>
      <c r="E7" s="30"/>
    </row>
    <row r="8" spans="1:5">
      <c r="A8" s="30" t="s">
        <v>302</v>
      </c>
      <c r="B8" s="30"/>
      <c r="C8" s="30"/>
      <c r="D8" s="187"/>
      <c r="E8" s="30"/>
    </row>
    <row r="9" spans="1:5">
      <c r="A9" s="30" t="s">
        <v>356</v>
      </c>
      <c r="B9" s="30"/>
      <c r="C9" s="30"/>
      <c r="D9" s="187"/>
      <c r="E9" s="30"/>
    </row>
    <row r="10" spans="1:5">
      <c r="A10" s="30" t="s">
        <v>357</v>
      </c>
      <c r="B10" s="30"/>
      <c r="C10" s="30"/>
      <c r="D10" s="187"/>
      <c r="E10" s="30"/>
    </row>
    <row r="11" spans="1:5">
      <c r="A11" s="30" t="s">
        <v>303</v>
      </c>
      <c r="B11" s="30"/>
      <c r="C11" s="30"/>
      <c r="D11" s="186"/>
      <c r="E11" s="30"/>
    </row>
    <row r="12" spans="1:5">
      <c r="A12" s="102"/>
      <c r="B12" s="30"/>
      <c r="C12" s="30"/>
      <c r="D12" s="508">
        <f>+D2+D3+D4+D5+D11</f>
        <v>0</v>
      </c>
      <c r="E12" s="30"/>
    </row>
    <row r="16" spans="1:5" ht="21">
      <c r="A16" s="513" t="s">
        <v>496</v>
      </c>
      <c r="B16" s="518"/>
      <c r="C16" s="518"/>
      <c r="D16" s="518"/>
    </row>
    <row r="17" spans="1:21">
      <c r="L17" s="558" t="s">
        <v>700</v>
      </c>
      <c r="O17" s="155" t="s">
        <v>296</v>
      </c>
      <c r="P17" s="155"/>
      <c r="Q17" s="160"/>
      <c r="R17" s="160"/>
      <c r="S17" s="160"/>
      <c r="T17" s="160"/>
      <c r="U17" s="160"/>
    </row>
    <row r="18" spans="1:21" ht="15.75">
      <c r="A18" s="166" t="s">
        <v>276</v>
      </c>
      <c r="K18" s="103"/>
      <c r="L18" s="86" t="s">
        <v>216</v>
      </c>
      <c r="M18" s="84" t="s">
        <v>165</v>
      </c>
      <c r="N18" s="110" t="s">
        <v>211</v>
      </c>
      <c r="O18" s="106"/>
      <c r="P18" s="106"/>
      <c r="Q18" s="106"/>
      <c r="R18" s="106"/>
      <c r="S18" s="106"/>
      <c r="T18" s="51"/>
    </row>
    <row r="19" spans="1:21">
      <c r="K19" s="104"/>
      <c r="L19" s="113">
        <v>1110</v>
      </c>
      <c r="M19" s="84" t="s">
        <v>217</v>
      </c>
      <c r="N19" s="109">
        <v>-99242250</v>
      </c>
      <c r="O19" s="115"/>
      <c r="P19" s="107"/>
      <c r="Q19" s="98"/>
      <c r="R19" s="107"/>
      <c r="S19" s="51"/>
      <c r="T19" s="51"/>
    </row>
    <row r="20" spans="1:21" ht="15" customHeight="1">
      <c r="A20" s="569" t="s">
        <v>662</v>
      </c>
      <c r="B20" s="569"/>
      <c r="C20" s="569"/>
      <c r="D20" s="569"/>
      <c r="E20" s="569"/>
      <c r="F20" s="569"/>
      <c r="G20" s="569"/>
      <c r="H20" s="569"/>
      <c r="L20" s="86">
        <v>1115</v>
      </c>
      <c r="M20" s="84" t="s">
        <v>259</v>
      </c>
      <c r="N20" s="109">
        <v>-1832698</v>
      </c>
      <c r="O20" s="115"/>
      <c r="P20" s="107"/>
      <c r="Q20" s="98"/>
      <c r="R20" s="107"/>
      <c r="S20" s="51"/>
      <c r="T20" s="51"/>
    </row>
    <row r="21" spans="1:21">
      <c r="A21" s="569"/>
      <c r="B21" s="569"/>
      <c r="C21" s="569"/>
      <c r="D21" s="569"/>
      <c r="E21" s="569"/>
      <c r="F21" s="569"/>
      <c r="G21" s="569"/>
      <c r="H21" s="569"/>
      <c r="K21" s="104"/>
      <c r="L21" s="86">
        <v>1105</v>
      </c>
      <c r="M21" s="84" t="s">
        <v>218</v>
      </c>
      <c r="N21" s="109">
        <v>-14500000</v>
      </c>
      <c r="O21" s="115"/>
      <c r="P21" s="107"/>
      <c r="Q21" s="98"/>
      <c r="R21" s="107"/>
      <c r="S21" s="51"/>
      <c r="T21" s="51"/>
    </row>
    <row r="22" spans="1:21">
      <c r="A22" s="569"/>
      <c r="B22" s="569"/>
      <c r="C22" s="569"/>
      <c r="D22" s="569"/>
      <c r="E22" s="569"/>
      <c r="F22" s="569"/>
      <c r="G22" s="569"/>
      <c r="H22" s="569"/>
      <c r="K22" s="104"/>
      <c r="L22" s="113">
        <v>1120</v>
      </c>
      <c r="M22" s="84" t="s">
        <v>219</v>
      </c>
      <c r="N22" s="109">
        <v>-1200000</v>
      </c>
      <c r="O22" s="115"/>
      <c r="P22" s="107"/>
      <c r="Q22" s="98"/>
      <c r="R22" s="107"/>
      <c r="S22" s="51"/>
      <c r="T22" s="51"/>
    </row>
    <row r="23" spans="1:21">
      <c r="A23" s="569"/>
      <c r="B23" s="569"/>
      <c r="C23" s="569"/>
      <c r="D23" s="569"/>
      <c r="E23" s="569"/>
      <c r="F23" s="569"/>
      <c r="G23" s="569"/>
      <c r="H23" s="569"/>
      <c r="K23" s="104"/>
      <c r="L23" s="113">
        <v>2110</v>
      </c>
      <c r="M23" s="84" t="s">
        <v>220</v>
      </c>
      <c r="N23" s="109">
        <v>60000000</v>
      </c>
      <c r="O23" s="115"/>
      <c r="P23" s="107"/>
      <c r="Q23" s="98"/>
      <c r="R23" s="107"/>
      <c r="S23" s="98"/>
      <c r="T23" s="51"/>
    </row>
    <row r="24" spans="1:21">
      <c r="A24" s="569"/>
      <c r="B24" s="569"/>
      <c r="C24" s="569"/>
      <c r="D24" s="569"/>
      <c r="E24" s="569"/>
      <c r="F24" s="569"/>
      <c r="G24" s="569"/>
      <c r="H24" s="569"/>
      <c r="L24" s="113">
        <v>2110</v>
      </c>
      <c r="M24" s="84" t="s">
        <v>221</v>
      </c>
      <c r="N24" s="111">
        <v>8700000</v>
      </c>
      <c r="O24" s="115"/>
      <c r="P24" s="107"/>
      <c r="Q24" s="98"/>
      <c r="R24" s="107"/>
      <c r="S24" s="98"/>
      <c r="T24" s="51"/>
    </row>
    <row r="25" spans="1:21">
      <c r="A25" s="569"/>
      <c r="B25" s="569"/>
      <c r="C25" s="569"/>
      <c r="D25" s="569"/>
      <c r="E25" s="569"/>
      <c r="F25" s="569"/>
      <c r="G25" s="569"/>
      <c r="H25" s="569"/>
      <c r="L25" s="113">
        <v>2310</v>
      </c>
      <c r="M25" s="84" t="s">
        <v>222</v>
      </c>
      <c r="N25" s="109">
        <v>30000000</v>
      </c>
      <c r="O25" s="115"/>
      <c r="P25" s="107"/>
      <c r="Q25" s="98"/>
      <c r="R25" s="107"/>
      <c r="S25" s="98"/>
      <c r="T25" s="51"/>
    </row>
    <row r="26" spans="1:21">
      <c r="A26" s="569"/>
      <c r="B26" s="569"/>
      <c r="C26" s="569"/>
      <c r="D26" s="569"/>
      <c r="E26" s="569"/>
      <c r="F26" s="569"/>
      <c r="G26" s="569"/>
      <c r="H26" s="569"/>
      <c r="L26" s="113">
        <v>2430</v>
      </c>
      <c r="M26" s="84" t="s">
        <v>223</v>
      </c>
      <c r="N26" s="109">
        <f>+N25*25%</f>
        <v>7500000</v>
      </c>
      <c r="O26" s="115"/>
      <c r="P26" s="107"/>
      <c r="Q26" s="98"/>
      <c r="R26" s="107"/>
      <c r="S26" s="98"/>
      <c r="T26" s="51"/>
    </row>
    <row r="27" spans="1:21">
      <c r="A27" s="569"/>
      <c r="B27" s="569"/>
      <c r="C27" s="569"/>
      <c r="D27" s="569"/>
      <c r="E27" s="569"/>
      <c r="F27" s="569"/>
      <c r="G27" s="569"/>
      <c r="H27" s="569"/>
      <c r="L27" s="113">
        <v>3210</v>
      </c>
      <c r="M27" s="84" t="s">
        <v>224</v>
      </c>
      <c r="N27" s="109">
        <v>2345678</v>
      </c>
      <c r="O27" s="115"/>
      <c r="P27" s="107"/>
      <c r="Q27" s="98"/>
      <c r="R27" s="107"/>
      <c r="S27" s="98"/>
      <c r="T27" s="51"/>
    </row>
    <row r="28" spans="1:21">
      <c r="A28" s="569"/>
      <c r="B28" s="569"/>
      <c r="C28" s="569"/>
      <c r="D28" s="569"/>
      <c r="E28" s="569"/>
      <c r="F28" s="569"/>
      <c r="G28" s="569"/>
      <c r="H28" s="569"/>
      <c r="L28" s="86">
        <v>3510</v>
      </c>
      <c r="M28" s="84" t="s">
        <v>225</v>
      </c>
      <c r="N28" s="109">
        <v>578000</v>
      </c>
      <c r="O28" s="115"/>
      <c r="P28" s="107"/>
      <c r="Q28" s="98"/>
      <c r="R28" s="107"/>
      <c r="S28" s="98"/>
      <c r="T28" s="51"/>
    </row>
    <row r="29" spans="1:21">
      <c r="A29" s="435"/>
      <c r="B29" s="435"/>
      <c r="C29" s="435"/>
      <c r="D29" s="435"/>
      <c r="E29" s="435"/>
      <c r="F29" s="435"/>
      <c r="G29" s="435"/>
      <c r="H29" s="435"/>
      <c r="K29" s="104"/>
      <c r="L29" s="86">
        <v>3520</v>
      </c>
      <c r="M29" s="84" t="s">
        <v>226</v>
      </c>
      <c r="N29" s="109">
        <v>67800</v>
      </c>
      <c r="O29" s="115"/>
      <c r="P29" s="107"/>
      <c r="Q29" s="98"/>
      <c r="R29" s="107"/>
      <c r="S29" s="98"/>
      <c r="T29" s="51"/>
    </row>
    <row r="30" spans="1:21">
      <c r="A30" s="95" t="s">
        <v>497</v>
      </c>
      <c r="C30" s="91"/>
      <c r="D30" s="91"/>
      <c r="E30" s="91"/>
      <c r="F30" s="91"/>
      <c r="G30" s="91"/>
      <c r="H30" s="91"/>
      <c r="I30" s="92"/>
      <c r="K30" s="105"/>
      <c r="L30" s="113">
        <v>3530</v>
      </c>
      <c r="M30" s="84" t="s">
        <v>227</v>
      </c>
      <c r="N30" s="109">
        <v>2464555</v>
      </c>
      <c r="O30" s="115"/>
      <c r="P30" s="107"/>
      <c r="Q30" s="98"/>
      <c r="R30" s="107"/>
      <c r="S30" s="98"/>
      <c r="T30" s="51"/>
    </row>
    <row r="31" spans="1:21" ht="15.75">
      <c r="A31" s="99" t="s">
        <v>663</v>
      </c>
      <c r="B31" s="100"/>
      <c r="C31" s="90"/>
      <c r="D31" s="90"/>
      <c r="E31" s="90"/>
      <c r="F31" s="90"/>
      <c r="G31" s="90"/>
      <c r="H31" s="90"/>
      <c r="I31" s="90"/>
      <c r="L31" s="113">
        <v>3590</v>
      </c>
      <c r="M31" s="84" t="s">
        <v>228</v>
      </c>
      <c r="N31" s="109">
        <v>4677777</v>
      </c>
      <c r="O31" s="115"/>
      <c r="P31" s="107"/>
      <c r="Q31" s="98"/>
      <c r="R31" s="107"/>
      <c r="S31" s="98"/>
      <c r="T31" s="51"/>
    </row>
    <row r="32" spans="1:21">
      <c r="A32" s="90"/>
      <c r="B32" s="90"/>
      <c r="C32" s="90"/>
      <c r="D32" s="90"/>
      <c r="E32" s="90"/>
      <c r="F32" s="90"/>
      <c r="G32" s="90"/>
      <c r="H32" s="90"/>
      <c r="I32" s="90"/>
      <c r="L32" s="86">
        <v>3750</v>
      </c>
      <c r="M32" s="84" t="s">
        <v>322</v>
      </c>
      <c r="N32" s="109">
        <v>567000</v>
      </c>
      <c r="O32" s="115"/>
      <c r="P32" s="107"/>
      <c r="Q32" s="98"/>
      <c r="R32" s="107"/>
      <c r="S32" s="98"/>
      <c r="T32" s="51"/>
    </row>
    <row r="33" spans="1:20">
      <c r="A33" s="90"/>
      <c r="B33" s="90"/>
      <c r="C33" s="93">
        <v>102</v>
      </c>
      <c r="D33" s="93">
        <v>304</v>
      </c>
      <c r="E33" s="93">
        <v>506</v>
      </c>
      <c r="F33" s="93">
        <v>708</v>
      </c>
      <c r="G33" s="93">
        <v>910</v>
      </c>
      <c r="H33" s="93">
        <v>1112</v>
      </c>
      <c r="I33" s="94" t="s">
        <v>247</v>
      </c>
      <c r="L33" s="113">
        <v>3810</v>
      </c>
      <c r="M33" s="84" t="s">
        <v>229</v>
      </c>
      <c r="N33" s="109">
        <v>35666</v>
      </c>
      <c r="O33" s="115"/>
      <c r="P33" s="107"/>
      <c r="Q33" s="98"/>
      <c r="R33" s="107"/>
      <c r="S33" s="98"/>
      <c r="T33" s="51"/>
    </row>
    <row r="34" spans="1:20">
      <c r="A34" s="90" t="s">
        <v>248</v>
      </c>
      <c r="B34" s="95" t="s">
        <v>249</v>
      </c>
      <c r="C34" s="96">
        <v>9107251</v>
      </c>
      <c r="D34" s="96">
        <v>6601259</v>
      </c>
      <c r="E34" s="96">
        <v>8560988</v>
      </c>
      <c r="F34" s="96">
        <v>6260869.5652173916</v>
      </c>
      <c r="G34" s="96">
        <v>8907655</v>
      </c>
      <c r="H34" s="101"/>
      <c r="I34" s="96">
        <f t="shared" ref="I34:I36" si="0">SUM(C34:H34)</f>
        <v>39438022.565217391</v>
      </c>
      <c r="L34" s="113">
        <v>3811</v>
      </c>
      <c r="M34" s="84" t="s">
        <v>230</v>
      </c>
      <c r="N34" s="109">
        <v>768544</v>
      </c>
      <c r="O34" s="115"/>
      <c r="P34" s="107"/>
      <c r="Q34" s="98"/>
      <c r="R34" s="107"/>
      <c r="S34" s="98"/>
      <c r="T34" s="51"/>
    </row>
    <row r="35" spans="1:20">
      <c r="A35" s="90" t="s">
        <v>258</v>
      </c>
      <c r="B35" s="95" t="s">
        <v>250</v>
      </c>
      <c r="C35" s="96">
        <v>0</v>
      </c>
      <c r="D35" s="96">
        <v>231250</v>
      </c>
      <c r="E35" s="96">
        <v>501200</v>
      </c>
      <c r="F35" s="96">
        <v>0</v>
      </c>
      <c r="G35" s="96">
        <v>1501589</v>
      </c>
      <c r="H35" s="101"/>
      <c r="I35" s="96">
        <f t="shared" si="0"/>
        <v>2234039</v>
      </c>
      <c r="L35" s="113">
        <v>3813</v>
      </c>
      <c r="M35" s="84" t="s">
        <v>231</v>
      </c>
      <c r="N35" s="109">
        <v>567788</v>
      </c>
      <c r="O35" s="115"/>
      <c r="P35" s="107"/>
      <c r="Q35" s="98"/>
      <c r="R35" s="107"/>
      <c r="S35" s="98"/>
      <c r="T35" s="51"/>
    </row>
    <row r="36" spans="1:20">
      <c r="A36" s="90" t="s">
        <v>251</v>
      </c>
      <c r="B36" s="95" t="s">
        <v>252</v>
      </c>
      <c r="C36" s="96">
        <v>0</v>
      </c>
      <c r="D36" s="96">
        <v>2010600</v>
      </c>
      <c r="E36" s="96">
        <v>0</v>
      </c>
      <c r="F36" s="96">
        <v>1509888</v>
      </c>
      <c r="G36" s="96">
        <v>1908765</v>
      </c>
      <c r="H36" s="101"/>
      <c r="I36" s="96">
        <f t="shared" si="0"/>
        <v>5429253</v>
      </c>
      <c r="L36" s="86">
        <v>3816</v>
      </c>
      <c r="M36" s="84" t="s">
        <v>232</v>
      </c>
      <c r="N36" s="109">
        <v>357000</v>
      </c>
      <c r="O36" s="115"/>
      <c r="P36" s="107"/>
      <c r="Q36" s="98"/>
      <c r="R36" s="107"/>
      <c r="S36" s="98"/>
      <c r="T36" s="51"/>
    </row>
    <row r="37" spans="1:20">
      <c r="A37" s="90" t="s">
        <v>253</v>
      </c>
      <c r="B37" s="95" t="s">
        <v>210</v>
      </c>
      <c r="C37" s="96">
        <f>+C34*0.24+C35*0.11</f>
        <v>2185740.2399999998</v>
      </c>
      <c r="D37" s="96">
        <f t="shared" ref="D37:G37" si="1">+D34*0.24+D35*0.11</f>
        <v>1609739.66</v>
      </c>
      <c r="E37" s="96">
        <f t="shared" si="1"/>
        <v>2109769.12</v>
      </c>
      <c r="F37" s="96">
        <f t="shared" si="1"/>
        <v>1502608.6956521738</v>
      </c>
      <c r="G37" s="96">
        <f t="shared" si="1"/>
        <v>2303011.9899999998</v>
      </c>
      <c r="H37" s="101"/>
      <c r="I37" s="96">
        <f>SUM(C37:H37)</f>
        <v>9710869.7056521736</v>
      </c>
      <c r="L37" s="113">
        <v>3872</v>
      </c>
      <c r="M37" s="84" t="s">
        <v>334</v>
      </c>
      <c r="N37" s="109">
        <v>125098</v>
      </c>
      <c r="O37" s="115"/>
      <c r="P37" s="107"/>
      <c r="Q37" s="98"/>
      <c r="R37" s="107"/>
      <c r="S37" s="98"/>
      <c r="T37" s="51"/>
    </row>
    <row r="38" spans="1:20">
      <c r="A38" s="90" t="s">
        <v>254</v>
      </c>
      <c r="B38" s="95" t="s">
        <v>255</v>
      </c>
      <c r="C38" s="96">
        <v>1352010</v>
      </c>
      <c r="D38" s="96">
        <v>1437890</v>
      </c>
      <c r="E38" s="96">
        <v>1500256</v>
      </c>
      <c r="F38" s="96">
        <v>999345</v>
      </c>
      <c r="G38" s="96">
        <v>1569089</v>
      </c>
      <c r="H38" s="101"/>
      <c r="I38" s="96">
        <f>SUM(C38:H38)</f>
        <v>6858590</v>
      </c>
      <c r="L38" s="113">
        <v>3880</v>
      </c>
      <c r="M38" s="84" t="s">
        <v>233</v>
      </c>
      <c r="N38" s="109">
        <v>3570000</v>
      </c>
      <c r="O38" s="115"/>
      <c r="P38" s="107"/>
      <c r="Q38" s="98"/>
      <c r="R38" s="107"/>
      <c r="S38" s="98"/>
      <c r="T38" s="51"/>
    </row>
    <row r="39" spans="1:20" ht="15.75" thickBot="1">
      <c r="A39" s="90" t="s">
        <v>256</v>
      </c>
      <c r="B39" s="95" t="s">
        <v>257</v>
      </c>
      <c r="C39" s="97">
        <f t="shared" ref="C39:H39" si="2">+C37-C38</f>
        <v>833730.23999999976</v>
      </c>
      <c r="D39" s="97">
        <f t="shared" si="2"/>
        <v>171849.65999999992</v>
      </c>
      <c r="E39" s="97">
        <f t="shared" si="2"/>
        <v>609513.12000000011</v>
      </c>
      <c r="F39" s="97">
        <f t="shared" si="2"/>
        <v>503263.69565217383</v>
      </c>
      <c r="G39" s="97">
        <f t="shared" si="2"/>
        <v>733922.98999999976</v>
      </c>
      <c r="H39" s="97">
        <f t="shared" si="2"/>
        <v>0</v>
      </c>
      <c r="I39" s="97">
        <f t="shared" ref="I39" si="3">SUM(C39:H39)</f>
        <v>2852279.7056521731</v>
      </c>
      <c r="L39" s="113">
        <v>3881</v>
      </c>
      <c r="M39" s="84" t="s">
        <v>234</v>
      </c>
      <c r="N39" s="109">
        <v>15400</v>
      </c>
      <c r="O39" s="115"/>
      <c r="P39" s="107"/>
      <c r="Q39" s="98"/>
      <c r="R39" s="107"/>
      <c r="S39" s="98"/>
      <c r="T39" s="51"/>
    </row>
    <row r="40" spans="1:20">
      <c r="A40" s="90" t="s">
        <v>148</v>
      </c>
      <c r="B40" s="90"/>
      <c r="C40" s="96">
        <f t="shared" ref="C40:F40" si="4">+C37-C38-C39</f>
        <v>0</v>
      </c>
      <c r="D40" s="96">
        <f t="shared" si="4"/>
        <v>0</v>
      </c>
      <c r="E40" s="96">
        <f t="shared" si="4"/>
        <v>0</v>
      </c>
      <c r="F40" s="96">
        <f t="shared" si="4"/>
        <v>0</v>
      </c>
      <c r="G40" s="96">
        <f>+G37-G38-G39</f>
        <v>0</v>
      </c>
      <c r="H40" s="96">
        <f>+H37-H38-H39</f>
        <v>0</v>
      </c>
      <c r="I40" s="96">
        <f t="shared" ref="I40" si="5">+I37-I38-I39</f>
        <v>0</v>
      </c>
      <c r="L40" s="113">
        <v>3888</v>
      </c>
      <c r="M40" s="84" t="s">
        <v>235</v>
      </c>
      <c r="N40" s="109">
        <v>127000</v>
      </c>
      <c r="O40" s="115"/>
      <c r="P40" s="107"/>
      <c r="Q40" s="98"/>
      <c r="R40" s="107"/>
      <c r="S40" s="98"/>
      <c r="T40" s="51"/>
    </row>
    <row r="41" spans="1:20">
      <c r="A41" s="435"/>
      <c r="B41" s="435"/>
      <c r="C41" s="435"/>
      <c r="D41" s="435"/>
      <c r="E41" s="435"/>
      <c r="F41" s="435"/>
      <c r="G41" s="435"/>
      <c r="H41" s="435"/>
      <c r="L41" s="113">
        <v>3900</v>
      </c>
      <c r="M41" s="84" t="s">
        <v>236</v>
      </c>
      <c r="N41" s="109">
        <v>1462000</v>
      </c>
      <c r="O41" s="115"/>
      <c r="P41" s="107"/>
      <c r="Q41" s="98"/>
      <c r="R41" s="107"/>
      <c r="S41" s="98"/>
      <c r="T41" s="51"/>
    </row>
    <row r="42" spans="1:20">
      <c r="A42" s="435"/>
      <c r="B42" s="435"/>
      <c r="C42" s="435"/>
      <c r="D42" s="435"/>
      <c r="E42" s="435"/>
      <c r="F42" s="435"/>
      <c r="G42" s="435"/>
      <c r="H42" s="435"/>
      <c r="L42" s="113">
        <v>4120</v>
      </c>
      <c r="M42" s="84" t="s">
        <v>16</v>
      </c>
      <c r="N42" s="109">
        <v>1600000</v>
      </c>
      <c r="O42" s="115"/>
      <c r="P42" s="107"/>
      <c r="Q42" s="98"/>
      <c r="R42" s="107"/>
      <c r="S42" s="98"/>
      <c r="T42" s="51"/>
    </row>
    <row r="43" spans="1:20">
      <c r="L43" s="113">
        <v>5140</v>
      </c>
      <c r="M43" s="84" t="s">
        <v>128</v>
      </c>
      <c r="N43" s="109">
        <v>-4000000</v>
      </c>
      <c r="O43" s="115"/>
      <c r="P43" s="107"/>
      <c r="Q43" s="98"/>
      <c r="R43" s="107"/>
      <c r="S43" s="98"/>
      <c r="T43" s="51"/>
    </row>
    <row r="44" spans="1:20">
      <c r="A44" s="155" t="s">
        <v>699</v>
      </c>
      <c r="B44" s="155"/>
      <c r="C44" s="160"/>
      <c r="D44" s="160"/>
      <c r="E44" s="160"/>
      <c r="F44" s="160"/>
      <c r="G44" s="160"/>
      <c r="H44" s="160"/>
      <c r="I44" s="161"/>
      <c r="J44" s="89"/>
      <c r="L44" s="113">
        <v>5217</v>
      </c>
      <c r="M44" s="84" t="s">
        <v>44</v>
      </c>
      <c r="N44" s="109">
        <v>3409888</v>
      </c>
      <c r="O44" s="115"/>
      <c r="P44" s="107"/>
      <c r="Q44" s="98"/>
      <c r="R44" s="107"/>
      <c r="S44" s="98"/>
      <c r="T44" s="51"/>
    </row>
    <row r="45" spans="1:20">
      <c r="A45" s="95" t="s">
        <v>498</v>
      </c>
      <c r="C45" s="91"/>
      <c r="D45" s="91"/>
      <c r="E45" s="91"/>
      <c r="F45" s="91"/>
      <c r="G45" s="91"/>
      <c r="H45" s="91"/>
      <c r="I45" s="92"/>
      <c r="J45" s="89"/>
      <c r="L45" s="86">
        <v>7250</v>
      </c>
      <c r="M45" s="84" t="s">
        <v>149</v>
      </c>
      <c r="N45" s="109">
        <v>15000000</v>
      </c>
      <c r="O45" s="115"/>
      <c r="P45" s="107"/>
      <c r="Q45" s="98"/>
      <c r="R45" s="107"/>
      <c r="S45" s="98"/>
      <c r="T45" s="51"/>
    </row>
    <row r="46" spans="1:20" ht="15.75">
      <c r="A46" s="99" t="s">
        <v>663</v>
      </c>
      <c r="B46" s="100"/>
      <c r="C46" s="90"/>
      <c r="D46" s="90"/>
      <c r="E46" s="90"/>
      <c r="F46" s="90"/>
      <c r="G46" s="90"/>
      <c r="H46" s="90"/>
      <c r="I46" s="90"/>
      <c r="J46" s="84"/>
      <c r="L46" s="86">
        <v>7301</v>
      </c>
      <c r="M46" s="43" t="s">
        <v>237</v>
      </c>
      <c r="N46" s="109">
        <v>4500000</v>
      </c>
      <c r="O46" s="115"/>
      <c r="P46" s="107"/>
      <c r="Q46" s="98"/>
      <c r="R46" s="107"/>
      <c r="S46" s="98"/>
      <c r="T46" s="51"/>
    </row>
    <row r="47" spans="1:20">
      <c r="A47" s="90"/>
      <c r="B47" s="90"/>
      <c r="C47" s="90"/>
      <c r="D47" s="90"/>
      <c r="E47" s="90"/>
      <c r="F47" s="90"/>
      <c r="G47" s="90"/>
      <c r="H47" s="90"/>
      <c r="I47" s="90"/>
      <c r="J47" s="89"/>
      <c r="L47" s="86">
        <v>7341</v>
      </c>
      <c r="M47" s="43" t="s">
        <v>364</v>
      </c>
      <c r="N47" s="109">
        <v>8709500</v>
      </c>
      <c r="O47" s="115"/>
      <c r="P47" s="107"/>
      <c r="Q47" s="98"/>
      <c r="R47" s="107"/>
      <c r="S47" s="98"/>
      <c r="T47" s="51"/>
    </row>
    <row r="48" spans="1:20">
      <c r="A48" s="90"/>
      <c r="B48" s="90"/>
      <c r="C48" s="90"/>
      <c r="D48" s="90"/>
      <c r="E48" s="90"/>
      <c r="F48" s="90"/>
      <c r="G48" s="90"/>
      <c r="H48" s="90"/>
      <c r="I48" s="90"/>
      <c r="J48" s="89"/>
      <c r="L48" s="86">
        <v>7343</v>
      </c>
      <c r="M48" s="43" t="s">
        <v>499</v>
      </c>
      <c r="N48" s="109">
        <v>2500000</v>
      </c>
      <c r="O48" s="115"/>
      <c r="P48" s="107"/>
      <c r="Q48" s="98"/>
      <c r="R48" s="107"/>
      <c r="S48" s="98"/>
      <c r="T48" s="51"/>
    </row>
    <row r="49" spans="1:20">
      <c r="A49" s="90"/>
      <c r="B49" s="90"/>
      <c r="C49" s="90"/>
      <c r="D49" s="90"/>
      <c r="E49" s="90"/>
      <c r="F49" s="90"/>
      <c r="G49" s="90"/>
      <c r="H49" s="90"/>
      <c r="I49" s="90"/>
      <c r="J49" s="89"/>
      <c r="L49" s="86">
        <v>7640</v>
      </c>
      <c r="M49" s="43" t="s">
        <v>72</v>
      </c>
      <c r="N49" s="109">
        <v>14600987</v>
      </c>
      <c r="O49" s="115"/>
      <c r="P49" s="107"/>
      <c r="Q49" s="98"/>
      <c r="R49" s="107"/>
      <c r="S49" s="98"/>
      <c r="T49" s="51"/>
    </row>
    <row r="50" spans="1:20">
      <c r="A50" s="90"/>
      <c r="B50" s="90"/>
      <c r="C50" s="90"/>
      <c r="D50" s="90"/>
      <c r="E50" s="90"/>
      <c r="F50" s="90"/>
      <c r="G50" s="90"/>
      <c r="H50" s="90"/>
      <c r="I50" s="90"/>
      <c r="J50" s="89"/>
      <c r="L50" s="86">
        <v>7659</v>
      </c>
      <c r="M50" s="43" t="s">
        <v>238</v>
      </c>
      <c r="N50" s="109">
        <v>120000</v>
      </c>
      <c r="O50" s="115"/>
      <c r="P50" s="107"/>
      <c r="Q50" s="98"/>
      <c r="R50" s="107"/>
      <c r="S50" s="98"/>
      <c r="T50" s="51"/>
    </row>
    <row r="51" spans="1:20">
      <c r="A51" s="90"/>
      <c r="B51" s="90"/>
      <c r="C51" s="90"/>
      <c r="D51" s="90"/>
      <c r="E51" s="90"/>
      <c r="F51" s="90"/>
      <c r="G51" s="90"/>
      <c r="H51" s="90"/>
      <c r="I51" s="90"/>
      <c r="J51" s="89"/>
      <c r="L51" s="86">
        <v>7810</v>
      </c>
      <c r="M51" s="43" t="s">
        <v>239</v>
      </c>
      <c r="N51" s="109">
        <f>9800760+5589220</f>
        <v>15389980</v>
      </c>
      <c r="O51" s="115"/>
      <c r="P51" s="107"/>
      <c r="Q51" s="98"/>
      <c r="R51" s="107"/>
      <c r="S51" s="98"/>
      <c r="T51" s="51"/>
    </row>
    <row r="52" spans="1:20">
      <c r="A52" s="90"/>
      <c r="B52" s="90"/>
      <c r="C52" s="90"/>
      <c r="D52" s="90"/>
      <c r="E52" s="90"/>
      <c r="F52" s="90"/>
      <c r="G52" s="90"/>
      <c r="H52" s="90"/>
      <c r="I52" s="90"/>
      <c r="J52" s="89"/>
      <c r="L52" s="86">
        <v>8100</v>
      </c>
      <c r="M52" s="43" t="s">
        <v>49</v>
      </c>
      <c r="N52" s="109">
        <v>-1000000</v>
      </c>
      <c r="O52" s="115"/>
      <c r="P52" s="107"/>
      <c r="Q52" s="98"/>
      <c r="R52" s="107"/>
      <c r="S52" s="98"/>
      <c r="T52" s="51"/>
    </row>
    <row r="53" spans="1:20">
      <c r="A53" s="90"/>
      <c r="B53" s="90"/>
      <c r="C53" s="90"/>
      <c r="D53" s="90"/>
      <c r="E53" s="90"/>
      <c r="F53" s="90"/>
      <c r="G53" s="90"/>
      <c r="H53" s="90"/>
      <c r="I53" s="90"/>
      <c r="J53" s="89"/>
      <c r="L53" s="86">
        <v>8400</v>
      </c>
      <c r="M53" s="43" t="s">
        <v>51</v>
      </c>
      <c r="N53" s="109">
        <v>-18371797</v>
      </c>
      <c r="O53" s="115"/>
      <c r="P53" s="107"/>
      <c r="Q53" s="98"/>
      <c r="R53" s="107"/>
      <c r="S53" s="98"/>
      <c r="T53" s="51"/>
    </row>
    <row r="54" spans="1:20">
      <c r="A54" s="90"/>
      <c r="B54" s="90"/>
      <c r="C54" s="90"/>
      <c r="D54" s="90"/>
      <c r="E54" s="90"/>
      <c r="F54" s="90"/>
      <c r="G54" s="90"/>
      <c r="H54" s="90"/>
      <c r="I54" s="90"/>
      <c r="J54" s="89"/>
      <c r="L54" s="86">
        <v>9320</v>
      </c>
      <c r="M54" s="43" t="s">
        <v>82</v>
      </c>
      <c r="N54" s="109">
        <v>-13986001</v>
      </c>
      <c r="O54" s="115"/>
      <c r="P54" s="107"/>
      <c r="Q54" s="98"/>
      <c r="R54" s="107"/>
      <c r="S54" s="98"/>
      <c r="T54" s="51"/>
    </row>
    <row r="55" spans="1:20">
      <c r="A55" s="90"/>
      <c r="B55" s="90"/>
      <c r="C55" s="90"/>
      <c r="D55" s="90"/>
      <c r="E55" s="90"/>
      <c r="F55" s="90"/>
      <c r="G55" s="90"/>
      <c r="H55" s="90"/>
      <c r="I55" s="90"/>
      <c r="J55" s="89"/>
      <c r="L55" s="86">
        <v>9350</v>
      </c>
      <c r="M55" s="43" t="s">
        <v>240</v>
      </c>
      <c r="N55" s="109">
        <v>-7801000</v>
      </c>
      <c r="O55" s="115"/>
      <c r="P55" s="107"/>
      <c r="Q55" s="98"/>
      <c r="R55" s="107"/>
      <c r="S55" s="98"/>
      <c r="T55" s="51"/>
    </row>
    <row r="56" spans="1:20">
      <c r="B56" s="90"/>
      <c r="C56" s="90"/>
      <c r="D56" s="90"/>
      <c r="E56" s="90"/>
      <c r="F56" s="90"/>
      <c r="G56" s="90"/>
      <c r="H56" s="90"/>
      <c r="I56" s="90"/>
      <c r="J56" s="89"/>
      <c r="L56" s="86">
        <v>9410</v>
      </c>
      <c r="M56" s="43" t="s">
        <v>241</v>
      </c>
      <c r="N56" s="109">
        <v>-12000543</v>
      </c>
      <c r="O56" s="115"/>
      <c r="P56" s="107"/>
      <c r="Q56" s="98"/>
      <c r="R56" s="107"/>
      <c r="S56" s="98"/>
      <c r="T56" s="51"/>
    </row>
    <row r="57" spans="1:20">
      <c r="B57" s="90"/>
      <c r="C57" s="90"/>
      <c r="D57" s="90"/>
      <c r="E57" s="90"/>
      <c r="F57" s="90"/>
      <c r="G57" s="90"/>
      <c r="H57" s="90"/>
      <c r="I57" s="90"/>
      <c r="J57" s="89"/>
      <c r="L57" s="86">
        <v>9412</v>
      </c>
      <c r="M57" s="43" t="s">
        <v>242</v>
      </c>
      <c r="N57" s="109">
        <f>+N56*0.12</f>
        <v>-1440065.16</v>
      </c>
      <c r="O57" s="115"/>
      <c r="P57" s="107"/>
      <c r="Q57" s="98"/>
      <c r="R57" s="107"/>
      <c r="S57" s="98"/>
      <c r="T57" s="51"/>
    </row>
    <row r="58" spans="1:20">
      <c r="B58" s="90"/>
      <c r="C58" s="90"/>
      <c r="D58" s="90"/>
      <c r="E58" s="90"/>
      <c r="F58" s="90"/>
      <c r="G58" s="90"/>
      <c r="H58" s="90"/>
      <c r="I58" s="90"/>
      <c r="J58" s="89"/>
      <c r="L58" s="86">
        <v>9414</v>
      </c>
      <c r="M58" s="43" t="s">
        <v>243</v>
      </c>
      <c r="N58" s="109">
        <v>-124001</v>
      </c>
      <c r="O58" s="115"/>
      <c r="P58" s="107"/>
      <c r="Q58" s="98"/>
      <c r="R58" s="107"/>
      <c r="S58" s="98"/>
      <c r="T58" s="51"/>
    </row>
    <row r="59" spans="1:20">
      <c r="B59" s="90"/>
      <c r="C59" s="90"/>
      <c r="D59" s="90"/>
      <c r="E59" s="90"/>
      <c r="F59" s="90"/>
      <c r="G59" s="90"/>
      <c r="H59" s="90"/>
      <c r="I59" s="90"/>
      <c r="J59" s="89"/>
      <c r="L59" s="86">
        <v>9430</v>
      </c>
      <c r="M59" s="43" t="s">
        <v>244</v>
      </c>
      <c r="N59" s="109">
        <v>-4560980</v>
      </c>
      <c r="O59" s="115"/>
      <c r="P59" s="107"/>
      <c r="Q59" s="98"/>
      <c r="R59" s="107"/>
      <c r="S59" s="98"/>
      <c r="T59" s="51"/>
    </row>
    <row r="60" spans="1:20">
      <c r="B60" s="90"/>
      <c r="C60" s="90"/>
      <c r="D60" s="90"/>
      <c r="E60" s="90"/>
      <c r="F60" s="90"/>
      <c r="G60" s="90"/>
      <c r="H60" s="90"/>
      <c r="I60" s="90"/>
      <c r="J60" s="89"/>
      <c r="L60" s="86">
        <v>9620</v>
      </c>
      <c r="M60" s="43" t="s">
        <v>245</v>
      </c>
      <c r="N60" s="109">
        <f>N56*0.6</f>
        <v>-7200325.7999999998</v>
      </c>
      <c r="O60" s="115"/>
      <c r="P60" s="107"/>
      <c r="Q60" s="98"/>
      <c r="R60" s="107"/>
      <c r="S60" s="98"/>
      <c r="T60" s="51"/>
    </row>
    <row r="61" spans="1:20">
      <c r="B61" s="90"/>
      <c r="C61" s="90"/>
      <c r="D61" s="90"/>
      <c r="E61" s="90"/>
      <c r="F61" s="90"/>
      <c r="G61" s="90"/>
      <c r="H61" s="90"/>
      <c r="I61" s="90"/>
      <c r="J61" s="89"/>
      <c r="L61" s="86">
        <v>9630</v>
      </c>
      <c r="M61" s="43" t="s">
        <v>246</v>
      </c>
      <c r="N61" s="111">
        <v>-2500000</v>
      </c>
      <c r="O61" s="115"/>
      <c r="P61" s="107"/>
      <c r="Q61" s="98"/>
      <c r="R61" s="107"/>
      <c r="S61" s="98"/>
      <c r="T61" s="51"/>
    </row>
    <row r="62" spans="1:20">
      <c r="B62" s="90"/>
      <c r="C62" s="90"/>
      <c r="D62" s="90"/>
      <c r="E62" s="90"/>
      <c r="F62" s="90"/>
      <c r="G62" s="90"/>
      <c r="H62" s="90"/>
      <c r="I62" s="90"/>
      <c r="J62" s="89"/>
      <c r="N62" s="112">
        <f>SUM(N19:N61)</f>
        <v>4.0000000037252903E-2</v>
      </c>
      <c r="O62" s="116"/>
      <c r="P62" s="108"/>
      <c r="Q62" s="88"/>
      <c r="R62" s="108"/>
      <c r="S62" s="88"/>
      <c r="T62" s="38"/>
    </row>
    <row r="63" spans="1:20">
      <c r="B63" s="90"/>
      <c r="C63" s="90"/>
      <c r="D63" s="90"/>
      <c r="E63" s="90"/>
      <c r="F63" s="90"/>
      <c r="G63" s="90"/>
      <c r="H63" s="90"/>
      <c r="I63" s="90"/>
      <c r="J63" s="89"/>
    </row>
    <row r="64" spans="1:20">
      <c r="B64" s="90"/>
      <c r="C64" s="90"/>
      <c r="D64" s="90"/>
      <c r="E64" s="90"/>
      <c r="F64" s="90"/>
      <c r="G64" s="90"/>
      <c r="H64" s="90"/>
      <c r="I64" s="90"/>
      <c r="J64" s="89"/>
    </row>
    <row r="65" spans="2:10">
      <c r="B65" s="90"/>
      <c r="C65" s="90"/>
      <c r="D65" s="90"/>
      <c r="E65" s="90"/>
      <c r="F65" s="90"/>
      <c r="G65" s="90"/>
      <c r="H65" s="90"/>
      <c r="I65" s="90"/>
      <c r="J65" s="89"/>
    </row>
    <row r="66" spans="2:10">
      <c r="B66" s="90"/>
      <c r="C66" s="90"/>
      <c r="D66" s="90"/>
      <c r="E66" s="90"/>
      <c r="F66" s="90"/>
      <c r="G66" s="90"/>
      <c r="H66" s="90"/>
      <c r="I66" s="90"/>
      <c r="J66" s="89"/>
    </row>
    <row r="67" spans="2:10">
      <c r="B67" s="90"/>
      <c r="C67" s="90"/>
      <c r="D67" s="90"/>
      <c r="E67" s="90"/>
      <c r="F67" s="90"/>
      <c r="G67" s="90"/>
      <c r="H67" s="90"/>
      <c r="I67" s="90"/>
      <c r="J67" s="89"/>
    </row>
    <row r="68" spans="2:10">
      <c r="B68" s="90"/>
      <c r="C68" s="90"/>
      <c r="D68" s="90"/>
      <c r="E68" s="90"/>
      <c r="F68" s="90"/>
      <c r="G68" s="90"/>
      <c r="H68" s="90"/>
      <c r="I68" s="90"/>
      <c r="J68" s="89"/>
    </row>
    <row r="69" spans="2:10">
      <c r="B69" s="90"/>
      <c r="C69" s="90"/>
      <c r="D69" s="90"/>
      <c r="E69" s="90"/>
      <c r="F69" s="90"/>
      <c r="G69" s="90"/>
      <c r="H69" s="90"/>
      <c r="I69" s="90"/>
      <c r="J69" s="89"/>
    </row>
    <row r="70" spans="2:10">
      <c r="B70" s="90"/>
      <c r="C70" s="90"/>
      <c r="D70" s="90"/>
      <c r="E70" s="90"/>
      <c r="F70" s="90"/>
      <c r="G70" s="90"/>
      <c r="H70" s="90"/>
      <c r="I70" s="90"/>
      <c r="J70" s="89"/>
    </row>
    <row r="71" spans="2:10">
      <c r="B71" s="90"/>
      <c r="C71" s="90"/>
      <c r="D71" s="90"/>
      <c r="E71" s="90"/>
      <c r="F71" s="90"/>
      <c r="G71" s="90"/>
      <c r="H71" s="90"/>
      <c r="I71" s="90"/>
      <c r="J71" s="89"/>
    </row>
    <row r="72" spans="2:10">
      <c r="B72" s="90"/>
      <c r="C72" s="90"/>
      <c r="D72" s="90"/>
      <c r="E72" s="90"/>
      <c r="F72" s="90"/>
      <c r="G72" s="90"/>
      <c r="H72" s="90"/>
      <c r="I72" s="90"/>
      <c r="J72" s="89"/>
    </row>
    <row r="73" spans="2:10">
      <c r="B73" s="90"/>
      <c r="C73" s="90"/>
      <c r="D73" s="90"/>
      <c r="E73" s="90"/>
      <c r="F73" s="90"/>
      <c r="G73" s="90"/>
      <c r="H73" s="90"/>
      <c r="I73" s="90"/>
      <c r="J73" s="89"/>
    </row>
    <row r="74" spans="2:10">
      <c r="B74" s="90"/>
      <c r="C74" s="90"/>
      <c r="D74" s="90"/>
      <c r="E74" s="90"/>
      <c r="F74" s="90"/>
      <c r="G74" s="90"/>
      <c r="H74" s="90"/>
      <c r="I74" s="90"/>
      <c r="J74" s="89"/>
    </row>
  </sheetData>
  <mergeCells count="1">
    <mergeCell ref="A20:H28"/>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6007DB-C92A-4D81-8A18-9FC59D205971}">
  <sheetPr>
    <tabColor rgb="FF0070C0"/>
  </sheetPr>
  <dimension ref="A3:Q37"/>
  <sheetViews>
    <sheetView workbookViewId="0">
      <selection activeCell="E28" sqref="E28"/>
    </sheetView>
  </sheetViews>
  <sheetFormatPr defaultRowHeight="15"/>
  <cols>
    <col min="12" max="14" width="11.5703125" customWidth="1"/>
    <col min="15" max="15" width="23.5703125" customWidth="1"/>
    <col min="16" max="17" width="10.5703125" customWidth="1"/>
  </cols>
  <sheetData>
    <row r="3" spans="1:4">
      <c r="A3" s="30" t="s">
        <v>596</v>
      </c>
      <c r="B3" s="30"/>
      <c r="C3" s="30"/>
      <c r="D3" s="186"/>
    </row>
    <row r="4" spans="1:4">
      <c r="A4" s="30" t="s">
        <v>633</v>
      </c>
      <c r="B4" s="30"/>
      <c r="C4" s="30"/>
      <c r="D4" s="559"/>
    </row>
    <row r="5" spans="1:4">
      <c r="A5" s="30" t="s">
        <v>598</v>
      </c>
      <c r="B5" s="30"/>
      <c r="C5" s="30"/>
      <c r="D5" s="186"/>
    </row>
    <row r="6" spans="1:4">
      <c r="A6" s="30" t="s">
        <v>599</v>
      </c>
      <c r="B6" s="30"/>
      <c r="C6" s="30"/>
      <c r="D6" s="186"/>
    </row>
    <row r="7" spans="1:4">
      <c r="A7" s="30" t="s">
        <v>600</v>
      </c>
      <c r="B7" s="30"/>
      <c r="C7" s="30"/>
      <c r="D7" s="533"/>
    </row>
    <row r="8" spans="1:4">
      <c r="A8" s="30" t="s">
        <v>601</v>
      </c>
      <c r="B8" s="30"/>
      <c r="C8" s="30"/>
      <c r="D8" s="533"/>
    </row>
    <row r="9" spans="1:4">
      <c r="A9" s="102"/>
      <c r="B9" s="30"/>
      <c r="C9" s="30"/>
      <c r="D9" s="508">
        <f>SUM(D3:D8)</f>
        <v>0</v>
      </c>
    </row>
    <row r="11" spans="1:4" ht="21">
      <c r="A11" s="513" t="s">
        <v>570</v>
      </c>
      <c r="B11" s="518"/>
      <c r="C11" s="518"/>
      <c r="D11" s="518"/>
    </row>
    <row r="14" spans="1:4">
      <c r="B14" t="s">
        <v>575</v>
      </c>
    </row>
    <row r="15" spans="1:4">
      <c r="B15" t="s">
        <v>571</v>
      </c>
    </row>
    <row r="16" spans="1:4">
      <c r="B16" t="s">
        <v>572</v>
      </c>
    </row>
    <row r="17" spans="2:17">
      <c r="B17" t="s">
        <v>573</v>
      </c>
    </row>
    <row r="18" spans="2:17">
      <c r="B18" t="s">
        <v>574</v>
      </c>
    </row>
    <row r="20" spans="2:17">
      <c r="B20" t="s">
        <v>576</v>
      </c>
    </row>
    <row r="21" spans="2:17">
      <c r="B21" t="s">
        <v>577</v>
      </c>
    </row>
    <row r="22" spans="2:17">
      <c r="B22" t="s">
        <v>578</v>
      </c>
    </row>
    <row r="23" spans="2:17">
      <c r="E23" s="4"/>
    </row>
    <row r="24" spans="2:17">
      <c r="B24" t="s">
        <v>579</v>
      </c>
      <c r="E24" s="4">
        <v>120000</v>
      </c>
      <c r="F24" t="s">
        <v>580</v>
      </c>
    </row>
    <row r="25" spans="2:17" ht="18.75">
      <c r="B25" t="s">
        <v>581</v>
      </c>
      <c r="E25" s="4">
        <v>350</v>
      </c>
      <c r="F25" t="s">
        <v>580</v>
      </c>
      <c r="L25" s="167" t="s">
        <v>590</v>
      </c>
    </row>
    <row r="26" spans="2:17">
      <c r="E26" s="4">
        <f>SUM(E24:E25)</f>
        <v>120350</v>
      </c>
      <c r="L26" s="51"/>
      <c r="M26" s="51"/>
      <c r="N26" s="51"/>
      <c r="O26" s="51" t="s">
        <v>592</v>
      </c>
      <c r="P26" s="574" t="s">
        <v>594</v>
      </c>
      <c r="Q26" s="574"/>
    </row>
    <row r="27" spans="2:17">
      <c r="B27" t="s">
        <v>582</v>
      </c>
      <c r="D27" s="499">
        <v>0.24</v>
      </c>
      <c r="E27" s="4">
        <f>+D27*E24</f>
        <v>28800</v>
      </c>
      <c r="L27" s="51" t="s">
        <v>591</v>
      </c>
      <c r="M27" s="51"/>
      <c r="N27" s="51"/>
      <c r="O27" s="51" t="s">
        <v>593</v>
      </c>
      <c r="P27" s="355" t="s">
        <v>595</v>
      </c>
      <c r="Q27" s="355" t="s">
        <v>161</v>
      </c>
    </row>
    <row r="28" spans="2:17" ht="15.75" thickBot="1">
      <c r="B28" s="2" t="s">
        <v>583</v>
      </c>
      <c r="E28" s="128">
        <f>+E27+E26</f>
        <v>149150</v>
      </c>
      <c r="L28" s="571"/>
      <c r="M28" s="572"/>
      <c r="N28" s="573"/>
      <c r="O28" s="500"/>
      <c r="P28" s="501"/>
      <c r="Q28" s="501"/>
    </row>
    <row r="29" spans="2:17">
      <c r="L29" s="571"/>
      <c r="M29" s="572"/>
      <c r="N29" s="573"/>
      <c r="O29" s="500"/>
      <c r="P29" s="501"/>
      <c r="Q29" s="501"/>
    </row>
    <row r="30" spans="2:17">
      <c r="B30" t="s">
        <v>584</v>
      </c>
      <c r="L30" s="571"/>
      <c r="M30" s="572"/>
      <c r="N30" s="573"/>
      <c r="O30" s="500"/>
      <c r="P30" s="501"/>
      <c r="Q30" s="501"/>
    </row>
    <row r="31" spans="2:17">
      <c r="B31" t="s">
        <v>585</v>
      </c>
      <c r="L31" s="571"/>
      <c r="M31" s="572"/>
      <c r="N31" s="573"/>
      <c r="O31" s="500"/>
      <c r="P31" s="501"/>
      <c r="Q31" s="501"/>
    </row>
    <row r="32" spans="2:17">
      <c r="L32" s="571"/>
      <c r="M32" s="572"/>
      <c r="N32" s="573"/>
      <c r="O32" s="500"/>
      <c r="P32" s="501"/>
      <c r="Q32" s="501"/>
    </row>
    <row r="33" spans="2:17">
      <c r="B33" t="s">
        <v>586</v>
      </c>
      <c r="L33" s="571"/>
      <c r="M33" s="572"/>
      <c r="N33" s="573"/>
      <c r="O33" s="500"/>
      <c r="P33" s="501"/>
      <c r="Q33" s="501"/>
    </row>
    <row r="34" spans="2:17">
      <c r="B34" t="s">
        <v>587</v>
      </c>
      <c r="L34" s="571"/>
      <c r="M34" s="572"/>
      <c r="N34" s="573"/>
      <c r="O34" s="500"/>
      <c r="P34" s="501"/>
      <c r="Q34" s="501"/>
    </row>
    <row r="35" spans="2:17">
      <c r="B35" t="s">
        <v>588</v>
      </c>
      <c r="L35" s="571"/>
      <c r="M35" s="572"/>
      <c r="N35" s="573"/>
      <c r="O35" s="500"/>
      <c r="P35" s="501"/>
      <c r="Q35" s="501"/>
    </row>
    <row r="36" spans="2:17">
      <c r="B36" t="s">
        <v>589</v>
      </c>
      <c r="L36" s="571"/>
      <c r="M36" s="572"/>
      <c r="N36" s="573"/>
      <c r="O36" s="500"/>
      <c r="P36" s="501"/>
      <c r="Q36" s="501"/>
    </row>
    <row r="37" spans="2:17" ht="15.75" thickBot="1">
      <c r="L37" s="571"/>
      <c r="M37" s="572"/>
      <c r="N37" s="573"/>
      <c r="O37" s="500" t="s">
        <v>597</v>
      </c>
      <c r="P37" s="502">
        <f>SUM(P28:P36)</f>
        <v>0</v>
      </c>
      <c r="Q37" s="502">
        <f>SUM(Q28:Q36)</f>
        <v>0</v>
      </c>
    </row>
  </sheetData>
  <mergeCells count="11">
    <mergeCell ref="L33:N33"/>
    <mergeCell ref="L34:N34"/>
    <mergeCell ref="L35:N35"/>
    <mergeCell ref="L36:N36"/>
    <mergeCell ref="L37:N37"/>
    <mergeCell ref="L32:N32"/>
    <mergeCell ref="P26:Q26"/>
    <mergeCell ref="L28:N28"/>
    <mergeCell ref="L29:N29"/>
    <mergeCell ref="L30:N30"/>
    <mergeCell ref="L31:N31"/>
  </mergeCells>
  <pageMargins left="0.7" right="0.7" top="0.75" bottom="0.75" header="0.3" footer="0.3"/>
  <pageSetup paperSize="9" orientation="portrait"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4" tint="-0.249977111117893"/>
  </sheetPr>
  <dimension ref="A1:P116"/>
  <sheetViews>
    <sheetView topLeftCell="A80" workbookViewId="0">
      <selection activeCell="A87" sqref="A87"/>
    </sheetView>
  </sheetViews>
  <sheetFormatPr defaultRowHeight="15"/>
  <cols>
    <col min="1" max="1" width="8.5703125" customWidth="1"/>
    <col min="2" max="2" width="35.140625" customWidth="1"/>
    <col min="3" max="4" width="13" customWidth="1"/>
    <col min="6" max="6" width="9.5703125" bestFit="1" customWidth="1"/>
    <col min="9" max="9" width="5.5703125" bestFit="1" customWidth="1"/>
    <col min="10" max="10" width="31.5703125" bestFit="1" customWidth="1"/>
    <col min="11" max="11" width="10.140625" customWidth="1"/>
    <col min="12" max="12" width="6.42578125" bestFit="1" customWidth="1"/>
  </cols>
  <sheetData>
    <row r="1" spans="1:16" ht="15.75">
      <c r="A1" s="188">
        <v>3100</v>
      </c>
      <c r="B1" s="188" t="s">
        <v>263</v>
      </c>
      <c r="C1" s="189">
        <v>900000</v>
      </c>
      <c r="D1" s="189"/>
      <c r="E1" s="38"/>
      <c r="F1" s="144">
        <f>+IF(C1= 900000,(1),FALSE)</f>
        <v>1</v>
      </c>
      <c r="H1" s="188"/>
      <c r="I1" s="188"/>
      <c r="J1" s="189"/>
      <c r="K1" s="189"/>
      <c r="L1" s="38"/>
      <c r="M1" s="193"/>
      <c r="N1" s="38"/>
      <c r="O1" s="38"/>
      <c r="P1" s="38"/>
    </row>
    <row r="2" spans="1:16" ht="15.75">
      <c r="A2" s="191">
        <v>3150</v>
      </c>
      <c r="B2" s="191" t="s">
        <v>265</v>
      </c>
      <c r="C2" s="192">
        <v>77100</v>
      </c>
      <c r="D2" s="192"/>
      <c r="E2" s="38"/>
      <c r="F2" s="144">
        <v>0.5</v>
      </c>
      <c r="H2" s="191"/>
      <c r="I2" s="191"/>
      <c r="J2" s="192"/>
      <c r="K2" s="192"/>
      <c r="L2" s="38"/>
      <c r="M2" s="193"/>
      <c r="N2" s="38"/>
      <c r="O2" s="38"/>
      <c r="P2" s="38"/>
    </row>
    <row r="3" spans="1:16" ht="15.75">
      <c r="A3" s="190">
        <v>3200</v>
      </c>
      <c r="B3" s="191" t="s">
        <v>267</v>
      </c>
      <c r="C3" s="192">
        <v>70828.999999999985</v>
      </c>
      <c r="D3" s="192"/>
      <c r="E3" s="38"/>
      <c r="F3" s="144">
        <f>+IF(C3= 70829,(1),FALSE)</f>
        <v>1</v>
      </c>
      <c r="H3" s="190"/>
      <c r="I3" s="191"/>
      <c r="J3" s="192"/>
      <c r="K3" s="192"/>
      <c r="L3" s="38"/>
      <c r="M3" s="193"/>
      <c r="N3" s="38"/>
      <c r="O3" s="38"/>
      <c r="P3" s="38"/>
    </row>
    <row r="4" spans="1:16" ht="15.75">
      <c r="A4" s="190">
        <v>3210</v>
      </c>
      <c r="B4" s="191" t="s">
        <v>268</v>
      </c>
      <c r="C4" s="192">
        <f>C110+C111</f>
        <v>0</v>
      </c>
      <c r="D4" s="192"/>
      <c r="E4" s="38"/>
      <c r="F4" s="144" t="b">
        <f>+IF(C4= 121500,(1),FALSE)</f>
        <v>0</v>
      </c>
      <c r="H4" s="190"/>
      <c r="I4" s="191"/>
      <c r="J4" s="192"/>
      <c r="K4" s="192"/>
      <c r="L4" s="38"/>
      <c r="M4" s="193"/>
      <c r="N4" s="38"/>
      <c r="O4" s="38"/>
      <c r="P4" s="38"/>
    </row>
    <row r="5" spans="1:16" ht="15.75">
      <c r="A5" s="190">
        <v>3213</v>
      </c>
      <c r="B5" s="191" t="s">
        <v>500</v>
      </c>
      <c r="C5" s="192">
        <f>507*14</f>
        <v>7098</v>
      </c>
      <c r="D5" s="192"/>
      <c r="E5" s="38"/>
      <c r="F5" s="144">
        <v>0.5</v>
      </c>
      <c r="H5" s="190"/>
      <c r="I5" s="191"/>
      <c r="J5" s="192"/>
      <c r="K5" s="192"/>
      <c r="L5" s="38"/>
      <c r="M5" s="193"/>
      <c r="N5" s="38"/>
      <c r="O5" s="38"/>
      <c r="P5" s="38"/>
    </row>
    <row r="6" spans="1:16" ht="15.75">
      <c r="A6" s="190">
        <v>3214</v>
      </c>
      <c r="B6" s="191" t="s">
        <v>501</v>
      </c>
      <c r="C6" s="192"/>
      <c r="D6" s="192">
        <v>7098</v>
      </c>
      <c r="E6" s="38"/>
      <c r="F6" s="144">
        <v>1</v>
      </c>
      <c r="H6" s="190"/>
      <c r="I6" s="191"/>
      <c r="J6" s="192"/>
      <c r="K6" s="192"/>
      <c r="L6" s="38"/>
      <c r="M6" s="193"/>
      <c r="N6" s="38"/>
      <c r="O6" s="38"/>
      <c r="P6" s="38"/>
    </row>
    <row r="7" spans="1:16" ht="15.75">
      <c r="A7" s="190">
        <v>9410</v>
      </c>
      <c r="B7" s="191" t="s">
        <v>273</v>
      </c>
      <c r="C7" s="192"/>
      <c r="D7" s="192">
        <f>D78</f>
        <v>0</v>
      </c>
      <c r="E7" s="38"/>
      <c r="F7" s="144">
        <v>1</v>
      </c>
      <c r="H7" s="190"/>
      <c r="I7" s="191"/>
      <c r="J7" s="192"/>
      <c r="K7" s="192"/>
      <c r="L7" s="38"/>
      <c r="M7" s="193"/>
      <c r="N7" s="38"/>
      <c r="O7" s="38"/>
      <c r="P7" s="38"/>
    </row>
    <row r="8" spans="1:16" ht="15.75">
      <c r="A8" s="190">
        <v>9412</v>
      </c>
      <c r="B8" s="191" t="s">
        <v>242</v>
      </c>
      <c r="C8" s="192"/>
      <c r="D8" s="192">
        <f>C4+C89+C90</f>
        <v>0</v>
      </c>
      <c r="E8" s="38"/>
      <c r="F8" s="144">
        <v>1</v>
      </c>
      <c r="H8" s="190"/>
      <c r="I8" s="191"/>
      <c r="J8" s="192"/>
      <c r="K8" s="192"/>
      <c r="L8" s="38"/>
      <c r="M8" s="193"/>
      <c r="N8" s="38"/>
      <c r="O8" s="38"/>
      <c r="P8" s="38"/>
    </row>
    <row r="9" spans="1:16" ht="15.75">
      <c r="A9" s="190">
        <v>9430</v>
      </c>
      <c r="B9" s="191" t="s">
        <v>244</v>
      </c>
      <c r="C9" s="192"/>
      <c r="D9" s="192">
        <f>D80</f>
        <v>0</v>
      </c>
      <c r="E9" s="38"/>
      <c r="F9" s="144">
        <v>1</v>
      </c>
      <c r="H9" s="190"/>
      <c r="I9" s="191"/>
      <c r="J9" s="192"/>
      <c r="K9" s="192"/>
      <c r="L9" s="38"/>
      <c r="M9" s="193"/>
      <c r="N9" s="38"/>
      <c r="O9" s="38"/>
      <c r="P9" s="38"/>
    </row>
    <row r="10" spans="1:16" ht="15.75">
      <c r="A10" s="190">
        <v>9440</v>
      </c>
      <c r="B10" s="191" t="s">
        <v>245</v>
      </c>
      <c r="C10" s="192"/>
      <c r="D10" s="192">
        <v>70828.999999999985</v>
      </c>
      <c r="E10" s="38"/>
      <c r="F10" s="144">
        <f>+IF(D10= 70829,(1),FALSE)</f>
        <v>1</v>
      </c>
      <c r="H10" s="190"/>
      <c r="I10" s="191"/>
      <c r="J10" s="192"/>
      <c r="K10" s="192"/>
      <c r="L10" s="38"/>
      <c r="M10" s="193"/>
      <c r="N10" s="38"/>
      <c r="O10" s="38"/>
      <c r="P10" s="38"/>
    </row>
    <row r="11" spans="1:16" ht="15.75">
      <c r="C11" s="4"/>
      <c r="D11" s="4"/>
      <c r="F11" s="504">
        <f>SUM(F1:F10)</f>
        <v>8</v>
      </c>
      <c r="H11" s="194"/>
      <c r="I11" s="194"/>
      <c r="J11" s="194"/>
      <c r="K11" s="194"/>
      <c r="L11" s="38"/>
      <c r="M11" s="193"/>
      <c r="N11" s="38"/>
      <c r="O11" s="38"/>
      <c r="P11" s="38"/>
    </row>
    <row r="12" spans="1:16">
      <c r="H12" s="195"/>
      <c r="I12" s="195"/>
      <c r="J12" s="195"/>
      <c r="K12" s="195"/>
      <c r="L12" s="195"/>
      <c r="M12" s="38"/>
      <c r="N12" s="38"/>
      <c r="O12" s="38"/>
      <c r="P12" s="38"/>
    </row>
    <row r="13" spans="1:16" ht="21">
      <c r="A13" s="513" t="s">
        <v>336</v>
      </c>
      <c r="B13" s="518"/>
      <c r="H13" s="195"/>
      <c r="I13" s="195"/>
      <c r="J13" s="195"/>
      <c r="K13" s="195"/>
      <c r="L13" s="195"/>
      <c r="M13" s="38"/>
      <c r="N13" s="38"/>
      <c r="O13" s="38"/>
      <c r="P13" s="38"/>
    </row>
    <row r="14" spans="1:16">
      <c r="H14" s="3"/>
      <c r="I14" s="3"/>
      <c r="J14" s="3"/>
      <c r="K14" s="3"/>
      <c r="L14" s="3"/>
    </row>
    <row r="15" spans="1:16" ht="15.75">
      <c r="A15" s="166" t="s">
        <v>262</v>
      </c>
      <c r="H15" s="3"/>
      <c r="I15" s="3"/>
      <c r="J15" s="3"/>
      <c r="K15" s="3"/>
      <c r="L15" s="3"/>
    </row>
    <row r="17" spans="1:12" ht="15" customHeight="1">
      <c r="A17" s="568" t="s">
        <v>664</v>
      </c>
      <c r="B17" s="568"/>
      <c r="C17" s="568"/>
      <c r="D17" s="568"/>
      <c r="E17" s="568"/>
      <c r="F17" s="568"/>
      <c r="G17" s="568"/>
    </row>
    <row r="18" spans="1:12">
      <c r="A18" s="568"/>
      <c r="B18" s="568"/>
      <c r="C18" s="568"/>
      <c r="D18" s="568"/>
      <c r="E18" s="568"/>
      <c r="F18" s="568"/>
      <c r="G18" s="568"/>
    </row>
    <row r="19" spans="1:12">
      <c r="A19" s="568"/>
      <c r="B19" s="568"/>
      <c r="C19" s="568"/>
      <c r="D19" s="568"/>
      <c r="E19" s="568"/>
      <c r="F19" s="568"/>
      <c r="G19" s="568"/>
    </row>
    <row r="20" spans="1:12">
      <c r="A20" s="568"/>
      <c r="B20" s="568"/>
      <c r="C20" s="568"/>
      <c r="D20" s="568"/>
      <c r="E20" s="568"/>
      <c r="F20" s="568"/>
      <c r="G20" s="568"/>
    </row>
    <row r="21" spans="1:12">
      <c r="A21" s="568"/>
      <c r="B21" s="568"/>
      <c r="C21" s="568"/>
      <c r="D21" s="568"/>
      <c r="E21" s="568"/>
      <c r="F21" s="568"/>
      <c r="G21" s="568"/>
    </row>
    <row r="22" spans="1:12">
      <c r="A22" s="568"/>
      <c r="B22" s="568"/>
      <c r="C22" s="568"/>
      <c r="D22" s="568"/>
      <c r="E22" s="568"/>
      <c r="F22" s="568"/>
      <c r="G22" s="568"/>
    </row>
    <row r="23" spans="1:12">
      <c r="A23" s="568"/>
      <c r="B23" s="568"/>
      <c r="C23" s="568"/>
      <c r="D23" s="568"/>
      <c r="E23" s="568"/>
      <c r="F23" s="568"/>
      <c r="G23" s="568"/>
    </row>
    <row r="26" spans="1:12">
      <c r="A26" t="s">
        <v>264</v>
      </c>
      <c r="C26" s="4">
        <v>900000</v>
      </c>
    </row>
    <row r="27" spans="1:12">
      <c r="A27" t="s">
        <v>265</v>
      </c>
      <c r="C27" s="4">
        <f>25700*3</f>
        <v>77100</v>
      </c>
    </row>
    <row r="28" spans="1:12">
      <c r="C28" s="4" t="s">
        <v>335</v>
      </c>
    </row>
    <row r="29" spans="1:12">
      <c r="A29" t="s">
        <v>365</v>
      </c>
      <c r="H29" s="568"/>
      <c r="I29" s="568"/>
      <c r="J29" s="568"/>
      <c r="K29" s="568"/>
      <c r="L29" s="568"/>
    </row>
    <row r="30" spans="1:12">
      <c r="A30" s="24" t="s">
        <v>665</v>
      </c>
      <c r="H30" s="568"/>
      <c r="I30" s="568"/>
      <c r="J30" s="568"/>
      <c r="K30" s="568"/>
      <c r="L30" s="568"/>
    </row>
    <row r="31" spans="1:12">
      <c r="A31" s="24" t="s">
        <v>666</v>
      </c>
      <c r="H31" s="568"/>
      <c r="I31" s="568"/>
      <c r="J31" s="568"/>
      <c r="K31" s="568"/>
      <c r="L31" s="568"/>
    </row>
    <row r="33" spans="1:7">
      <c r="A33" s="23" t="s">
        <v>691</v>
      </c>
    </row>
    <row r="34" spans="1:7">
      <c r="A34" s="23" t="s">
        <v>690</v>
      </c>
    </row>
    <row r="35" spans="1:7">
      <c r="A35" s="23"/>
    </row>
    <row r="36" spans="1:7">
      <c r="A36" s="458" t="s">
        <v>507</v>
      </c>
    </row>
    <row r="37" spans="1:7">
      <c r="A37" s="24" t="s">
        <v>694</v>
      </c>
    </row>
    <row r="38" spans="1:7">
      <c r="A38" s="24" t="s">
        <v>695</v>
      </c>
    </row>
    <row r="39" spans="1:7">
      <c r="A39" s="24" t="s">
        <v>696</v>
      </c>
    </row>
    <row r="41" spans="1:7" ht="15" customHeight="1">
      <c r="A41" s="568" t="s">
        <v>502</v>
      </c>
      <c r="B41" s="568"/>
      <c r="C41" s="568"/>
      <c r="D41" s="568"/>
      <c r="E41" s="568"/>
      <c r="F41" s="568"/>
      <c r="G41" s="568"/>
    </row>
    <row r="42" spans="1:7">
      <c r="A42" s="568"/>
      <c r="B42" s="568"/>
      <c r="C42" s="568"/>
      <c r="D42" s="568"/>
      <c r="E42" s="568"/>
      <c r="F42" s="568"/>
      <c r="G42" s="568"/>
    </row>
    <row r="43" spans="1:7">
      <c r="A43" s="568"/>
      <c r="B43" s="568"/>
      <c r="C43" s="568"/>
      <c r="D43" s="568"/>
      <c r="E43" s="568"/>
      <c r="F43" s="568"/>
      <c r="G43" s="568"/>
    </row>
    <row r="44" spans="1:7">
      <c r="A44" s="568"/>
      <c r="B44" s="568"/>
      <c r="C44" s="568"/>
      <c r="D44" s="568"/>
      <c r="E44" s="568"/>
      <c r="F44" s="568"/>
      <c r="G44" s="568"/>
    </row>
    <row r="46" spans="1:7" ht="15.75">
      <c r="A46" s="118"/>
      <c r="B46" s="118" t="s">
        <v>266</v>
      </c>
      <c r="C46" s="118" t="s">
        <v>160</v>
      </c>
      <c r="D46" s="118" t="s">
        <v>161</v>
      </c>
    </row>
    <row r="47" spans="1:7" ht="15.75">
      <c r="A47" s="119">
        <v>3100</v>
      </c>
      <c r="B47" s="119" t="s">
        <v>263</v>
      </c>
      <c r="C47" s="123"/>
      <c r="D47" s="123"/>
    </row>
    <row r="48" spans="1:7" ht="15.75">
      <c r="A48" s="121">
        <v>3150</v>
      </c>
      <c r="B48" s="121" t="s">
        <v>265</v>
      </c>
      <c r="C48" s="124"/>
      <c r="D48" s="124"/>
    </row>
    <row r="49" spans="1:4" ht="15.75">
      <c r="A49" s="120">
        <v>3200</v>
      </c>
      <c r="B49" s="121" t="s">
        <v>267</v>
      </c>
      <c r="C49" s="124"/>
      <c r="D49" s="124"/>
    </row>
    <row r="50" spans="1:4" ht="15.75">
      <c r="A50" s="120">
        <v>3210</v>
      </c>
      <c r="B50" s="121" t="s">
        <v>268</v>
      </c>
      <c r="C50" s="124"/>
      <c r="D50" s="124"/>
    </row>
    <row r="51" spans="1:4" ht="15.75">
      <c r="A51" s="120">
        <v>3211</v>
      </c>
      <c r="B51" s="121" t="s">
        <v>269</v>
      </c>
      <c r="C51" s="124"/>
      <c r="D51" s="124"/>
    </row>
    <row r="52" spans="1:4" ht="15.75">
      <c r="A52" s="120">
        <v>3213</v>
      </c>
      <c r="B52" s="191" t="s">
        <v>500</v>
      </c>
      <c r="C52" s="124"/>
      <c r="D52" s="124"/>
    </row>
    <row r="53" spans="1:4" ht="15.75">
      <c r="A53" s="120">
        <v>3214</v>
      </c>
      <c r="B53" s="191" t="s">
        <v>501</v>
      </c>
      <c r="C53" s="124"/>
      <c r="D53" s="124"/>
    </row>
    <row r="54" spans="1:4" ht="15.75">
      <c r="A54" s="120">
        <v>3215</v>
      </c>
      <c r="B54" s="121" t="s">
        <v>270</v>
      </c>
      <c r="C54" s="124"/>
      <c r="D54" s="124"/>
    </row>
    <row r="55" spans="1:4" ht="15.75">
      <c r="A55" s="120">
        <v>3310</v>
      </c>
      <c r="B55" s="121" t="s">
        <v>125</v>
      </c>
      <c r="C55" s="124"/>
      <c r="D55" s="124"/>
    </row>
    <row r="56" spans="1:4" ht="15.75">
      <c r="A56" s="120">
        <v>3340</v>
      </c>
      <c r="B56" s="121" t="s">
        <v>271</v>
      </c>
      <c r="C56" s="124"/>
      <c r="D56" s="124"/>
    </row>
    <row r="57" spans="1:4" ht="15.75">
      <c r="A57" s="120">
        <v>3350</v>
      </c>
      <c r="B57" s="121" t="s">
        <v>272</v>
      </c>
      <c r="C57" s="124"/>
      <c r="D57" s="124"/>
    </row>
    <row r="58" spans="1:4" ht="15.75">
      <c r="A58" s="120">
        <v>9410</v>
      </c>
      <c r="B58" s="121" t="s">
        <v>273</v>
      </c>
      <c r="C58" s="124"/>
      <c r="D58" s="124"/>
    </row>
    <row r="59" spans="1:4" ht="15.75">
      <c r="A59" s="120">
        <v>9412</v>
      </c>
      <c r="B59" s="121" t="s">
        <v>242</v>
      </c>
      <c r="C59" s="124"/>
      <c r="D59" s="124"/>
    </row>
    <row r="60" spans="1:4" ht="15.75">
      <c r="A60" s="120">
        <v>9430</v>
      </c>
      <c r="B60" s="121" t="s">
        <v>244</v>
      </c>
      <c r="C60" s="124"/>
      <c r="D60" s="124"/>
    </row>
    <row r="61" spans="1:4" ht="15.75">
      <c r="A61" s="120">
        <v>9440</v>
      </c>
      <c r="B61" s="121" t="s">
        <v>245</v>
      </c>
      <c r="C61" s="124"/>
      <c r="D61" s="124"/>
    </row>
    <row r="62" spans="1:4" ht="15.75">
      <c r="A62" s="122">
        <v>9450</v>
      </c>
      <c r="B62" s="122" t="s">
        <v>274</v>
      </c>
      <c r="C62" s="125"/>
      <c r="D62" s="125"/>
    </row>
    <row r="63" spans="1:4" ht="15.75">
      <c r="A63" s="118"/>
      <c r="B63" s="118" t="s">
        <v>162</v>
      </c>
      <c r="C63" s="118">
        <f>+SUM(C47:C62)</f>
        <v>0</v>
      </c>
      <c r="D63" s="118">
        <f>+SUM(D47:D62)</f>
        <v>0</v>
      </c>
    </row>
    <row r="64" spans="1:4" ht="15.75">
      <c r="A64" s="118"/>
      <c r="B64" s="118"/>
      <c r="C64" s="118"/>
      <c r="D64" s="118"/>
    </row>
    <row r="65" spans="1:7" ht="15.75">
      <c r="A65" s="162" t="s">
        <v>275</v>
      </c>
      <c r="B65" s="162"/>
      <c r="C65" s="162"/>
      <c r="D65" s="162"/>
      <c r="E65" s="155"/>
      <c r="F65" s="155"/>
      <c r="G65" s="155"/>
    </row>
    <row r="66" spans="1:7" ht="15.75">
      <c r="A66" s="118"/>
      <c r="B66" s="118" t="s">
        <v>266</v>
      </c>
      <c r="C66" s="118" t="s">
        <v>160</v>
      </c>
      <c r="D66" s="118" t="s">
        <v>161</v>
      </c>
    </row>
    <row r="67" spans="1:7" ht="15.75">
      <c r="A67" s="119">
        <v>3100</v>
      </c>
      <c r="B67" s="119" t="s">
        <v>263</v>
      </c>
      <c r="C67" s="123"/>
      <c r="D67" s="123"/>
      <c r="F67" s="142"/>
    </row>
    <row r="68" spans="1:7" ht="15.75">
      <c r="A68" s="121">
        <v>3150</v>
      </c>
      <c r="B68" s="121" t="s">
        <v>265</v>
      </c>
      <c r="C68" s="124"/>
      <c r="D68" s="124"/>
      <c r="F68" s="142"/>
    </row>
    <row r="69" spans="1:7" ht="15.75">
      <c r="A69" s="120">
        <v>3200</v>
      </c>
      <c r="B69" s="121" t="s">
        <v>267</v>
      </c>
      <c r="C69" s="124"/>
      <c r="D69" s="124"/>
      <c r="F69" s="142"/>
    </row>
    <row r="70" spans="1:7" ht="15.75">
      <c r="A70" s="120">
        <v>3210</v>
      </c>
      <c r="B70" s="121" t="s">
        <v>268</v>
      </c>
      <c r="C70" s="124"/>
      <c r="D70" s="124"/>
      <c r="F70" s="142"/>
    </row>
    <row r="71" spans="1:7" ht="15.75">
      <c r="A71" s="120">
        <v>3211</v>
      </c>
      <c r="B71" s="121" t="s">
        <v>269</v>
      </c>
      <c r="C71" s="124"/>
      <c r="D71" s="124"/>
    </row>
    <row r="72" spans="1:7" ht="15.75">
      <c r="A72" s="120">
        <v>3213</v>
      </c>
      <c r="B72" s="191" t="s">
        <v>500</v>
      </c>
      <c r="C72" s="124"/>
      <c r="D72" s="124"/>
      <c r="F72" s="142"/>
    </row>
    <row r="73" spans="1:7" ht="15.75">
      <c r="A73" s="120">
        <v>3214</v>
      </c>
      <c r="B73" s="191" t="s">
        <v>501</v>
      </c>
      <c r="C73" s="124"/>
      <c r="D73" s="124"/>
      <c r="F73" s="142"/>
    </row>
    <row r="74" spans="1:7" ht="15.75">
      <c r="A74" s="120">
        <v>3215</v>
      </c>
      <c r="B74" s="121" t="s">
        <v>270</v>
      </c>
      <c r="C74" s="124"/>
      <c r="D74" s="124"/>
    </row>
    <row r="75" spans="1:7" ht="15.75">
      <c r="A75" s="120">
        <v>3310</v>
      </c>
      <c r="B75" s="121" t="s">
        <v>125</v>
      </c>
      <c r="C75" s="124"/>
      <c r="D75" s="124"/>
    </row>
    <row r="76" spans="1:7" ht="15.75">
      <c r="A76" s="120">
        <v>3340</v>
      </c>
      <c r="B76" s="121" t="s">
        <v>271</v>
      </c>
      <c r="C76" s="124"/>
      <c r="D76" s="124"/>
    </row>
    <row r="77" spans="1:7" ht="15.75">
      <c r="A77" s="120">
        <v>3350</v>
      </c>
      <c r="B77" s="121" t="s">
        <v>272</v>
      </c>
      <c r="C77" s="124"/>
      <c r="D77" s="124"/>
    </row>
    <row r="78" spans="1:7" ht="15.75">
      <c r="A78" s="120">
        <v>9410</v>
      </c>
      <c r="B78" s="121" t="s">
        <v>273</v>
      </c>
      <c r="C78" s="124"/>
      <c r="D78" s="124"/>
      <c r="F78" s="142"/>
    </row>
    <row r="79" spans="1:7" ht="15.75">
      <c r="A79" s="120">
        <v>9412</v>
      </c>
      <c r="B79" s="121" t="s">
        <v>242</v>
      </c>
      <c r="C79" s="124"/>
      <c r="D79" s="124"/>
      <c r="F79" s="142"/>
    </row>
    <row r="80" spans="1:7" ht="15.75">
      <c r="A80" s="120">
        <v>9430</v>
      </c>
      <c r="B80" s="121" t="s">
        <v>244</v>
      </c>
      <c r="C80" s="124"/>
      <c r="D80" s="124"/>
      <c r="F80" s="142"/>
    </row>
    <row r="81" spans="1:6" ht="15.75">
      <c r="A81" s="120">
        <v>9440</v>
      </c>
      <c r="B81" s="121" t="s">
        <v>245</v>
      </c>
      <c r="C81" s="124"/>
      <c r="D81" s="124"/>
      <c r="F81" s="142"/>
    </row>
    <row r="82" spans="1:6" ht="15.75">
      <c r="A82" s="122">
        <v>9450</v>
      </c>
      <c r="B82" s="122" t="s">
        <v>274</v>
      </c>
      <c r="C82" s="125"/>
      <c r="D82" s="125"/>
    </row>
    <row r="83" spans="1:6" ht="15.75">
      <c r="A83" s="118"/>
      <c r="B83" s="118" t="s">
        <v>162</v>
      </c>
      <c r="C83" s="118">
        <f>+SUM(C67:C82)</f>
        <v>0</v>
      </c>
      <c r="D83" s="118">
        <f>+SUM(D67:D82)</f>
        <v>0</v>
      </c>
      <c r="F83" s="142"/>
    </row>
    <row r="84" spans="1:6" ht="15.75">
      <c r="A84" s="121"/>
      <c r="D84" s="4"/>
    </row>
    <row r="85" spans="1:6" ht="15.75">
      <c r="A85" s="121"/>
      <c r="D85" s="4">
        <f>C83-D83</f>
        <v>0</v>
      </c>
    </row>
    <row r="86" spans="1:6" ht="15.75">
      <c r="A86" s="560" t="s">
        <v>701</v>
      </c>
    </row>
    <row r="87" spans="1:6" ht="15.75">
      <c r="A87" s="121"/>
      <c r="C87" s="85"/>
      <c r="D87" s="85"/>
    </row>
    <row r="88" spans="1:6" ht="15.75">
      <c r="A88" s="191"/>
      <c r="C88" s="85"/>
      <c r="D88" s="85"/>
    </row>
    <row r="89" spans="1:6" ht="15.75">
      <c r="A89" s="121"/>
      <c r="C89" s="85"/>
      <c r="D89" s="85"/>
    </row>
    <row r="90" spans="1:6" ht="15.75">
      <c r="A90" s="121"/>
      <c r="C90" s="85"/>
      <c r="D90" s="85"/>
    </row>
    <row r="91" spans="1:6" ht="15.75">
      <c r="A91" s="121"/>
      <c r="C91" s="85"/>
      <c r="D91" s="85"/>
    </row>
    <row r="92" spans="1:6" ht="15.75">
      <c r="A92" s="121"/>
      <c r="B92" s="85"/>
      <c r="C92" s="85"/>
      <c r="D92" s="85"/>
    </row>
    <row r="93" spans="1:6" ht="15.75">
      <c r="A93" s="121"/>
      <c r="C93" s="85"/>
      <c r="D93" s="85"/>
    </row>
    <row r="94" spans="1:6" ht="15.75">
      <c r="A94" s="24"/>
      <c r="C94" s="85"/>
      <c r="D94" s="85"/>
    </row>
    <row r="95" spans="1:6" ht="15.75">
      <c r="A95" s="24"/>
      <c r="C95" s="85"/>
      <c r="D95" s="85"/>
    </row>
    <row r="96" spans="1:6" ht="15.75">
      <c r="A96" s="121"/>
      <c r="C96" s="85"/>
      <c r="D96" s="85"/>
    </row>
    <row r="97" spans="1:7" ht="15.75">
      <c r="A97" s="121"/>
      <c r="C97" s="85"/>
      <c r="D97" s="85"/>
    </row>
    <row r="98" spans="1:7" ht="15.75">
      <c r="A98" s="121"/>
      <c r="B98" s="103"/>
      <c r="C98" s="85"/>
      <c r="D98" s="85"/>
    </row>
    <row r="99" spans="1:7" ht="15.75">
      <c r="A99" s="121"/>
      <c r="C99" s="85"/>
      <c r="D99" s="85"/>
    </row>
    <row r="100" spans="1:7" ht="15.75">
      <c r="A100" s="121"/>
      <c r="C100" s="85"/>
      <c r="D100" s="85"/>
    </row>
    <row r="101" spans="1:7" ht="15.75">
      <c r="A101" s="121"/>
      <c r="C101" s="85"/>
      <c r="D101" s="85"/>
    </row>
    <row r="102" spans="1:7" ht="15.75">
      <c r="A102" s="121"/>
      <c r="C102" s="85"/>
      <c r="D102" s="85"/>
    </row>
    <row r="103" spans="1:7" ht="15.75">
      <c r="A103" s="121"/>
      <c r="C103" s="85"/>
      <c r="D103" s="85"/>
    </row>
    <row r="104" spans="1:7" ht="15.75">
      <c r="A104" s="121"/>
      <c r="C104" s="85"/>
      <c r="D104" s="85"/>
    </row>
    <row r="105" spans="1:7" ht="15.75">
      <c r="A105" s="121"/>
      <c r="C105" s="85"/>
      <c r="D105" s="85"/>
    </row>
    <row r="106" spans="1:7" ht="15.75">
      <c r="A106" s="85"/>
      <c r="B106" s="103"/>
      <c r="C106" s="85"/>
      <c r="D106" s="85"/>
    </row>
    <row r="107" spans="1:7" ht="15.75">
      <c r="A107" s="121"/>
      <c r="B107" s="85"/>
      <c r="C107" s="85"/>
      <c r="D107" s="85"/>
    </row>
    <row r="108" spans="1:7" ht="15.75">
      <c r="A108" s="121"/>
      <c r="C108" s="85"/>
      <c r="D108" s="575"/>
      <c r="E108" s="575"/>
      <c r="F108" s="575"/>
      <c r="G108" s="575"/>
    </row>
    <row r="109" spans="1:7" ht="15.75">
      <c r="A109" s="191"/>
      <c r="C109" s="85"/>
      <c r="D109" s="575"/>
      <c r="E109" s="575"/>
      <c r="F109" s="575"/>
      <c r="G109" s="575"/>
    </row>
    <row r="110" spans="1:7" ht="15.75">
      <c r="A110" s="121"/>
      <c r="C110" s="85"/>
      <c r="D110" s="85"/>
    </row>
    <row r="111" spans="1:7" ht="15.75">
      <c r="A111" s="121"/>
      <c r="C111" s="85"/>
      <c r="D111" s="85"/>
    </row>
    <row r="112" spans="1:7" ht="15.75">
      <c r="A112" s="121"/>
      <c r="C112" s="85"/>
      <c r="D112" s="85"/>
    </row>
    <row r="113" spans="1:4" ht="15.75">
      <c r="A113" s="121"/>
      <c r="C113" s="85"/>
      <c r="D113" s="85"/>
    </row>
    <row r="114" spans="1:4" ht="15.75">
      <c r="A114" s="121"/>
      <c r="C114" s="85"/>
    </row>
    <row r="115" spans="1:4" ht="15.75">
      <c r="A115" s="121"/>
    </row>
    <row r="116" spans="1:4" ht="15.75">
      <c r="A116" s="121"/>
    </row>
  </sheetData>
  <mergeCells count="4">
    <mergeCell ref="A17:G23"/>
    <mergeCell ref="H29:L31"/>
    <mergeCell ref="A41:G44"/>
    <mergeCell ref="D108:G109"/>
  </mergeCells>
  <pageMargins left="0.7" right="0.7" top="0.75" bottom="0.75" header="0.3" footer="0.3"/>
  <pageSetup paperSize="9"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tabColor theme="4" tint="-0.249977111117893"/>
  </sheetPr>
  <dimension ref="A1:Q76"/>
  <sheetViews>
    <sheetView zoomScaleNormal="100" zoomScaleSheetLayoutView="100" workbookViewId="0">
      <selection activeCell="G19" sqref="G19"/>
    </sheetView>
  </sheetViews>
  <sheetFormatPr defaultRowHeight="15"/>
  <cols>
    <col min="2" max="2" width="14.28515625" customWidth="1"/>
    <col min="4" max="4" width="12" customWidth="1"/>
    <col min="5" max="6" width="11.140625" bestFit="1" customWidth="1"/>
    <col min="7" max="7" width="11.5703125" bestFit="1" customWidth="1"/>
    <col min="8" max="9" width="11.28515625" customWidth="1"/>
    <col min="12" max="12" width="41.7109375" bestFit="1" customWidth="1"/>
    <col min="13" max="15" width="13" customWidth="1"/>
  </cols>
  <sheetData>
    <row r="1" spans="1:16">
      <c r="D1">
        <v>2018</v>
      </c>
      <c r="E1">
        <v>2019</v>
      </c>
    </row>
    <row r="2" spans="1:16">
      <c r="A2" s="38" t="s">
        <v>1</v>
      </c>
      <c r="B2" s="38" t="s">
        <v>689</v>
      </c>
      <c r="D2" s="387">
        <v>0</v>
      </c>
      <c r="E2" s="387">
        <v>0</v>
      </c>
      <c r="F2" s="144">
        <v>0</v>
      </c>
    </row>
    <row r="3" spans="1:16">
      <c r="A3" s="38" t="s">
        <v>2</v>
      </c>
      <c r="B3" s="38" t="s">
        <v>449</v>
      </c>
      <c r="D3" s="147">
        <v>0</v>
      </c>
      <c r="E3" s="147">
        <v>0</v>
      </c>
      <c r="F3" s="144">
        <v>0</v>
      </c>
    </row>
    <row r="4" spans="1:16">
      <c r="A4" s="38" t="s">
        <v>145</v>
      </c>
      <c r="B4" s="38" t="s">
        <v>450</v>
      </c>
      <c r="D4" s="147">
        <v>0</v>
      </c>
      <c r="E4" s="147">
        <v>0</v>
      </c>
      <c r="F4" s="144">
        <v>0</v>
      </c>
    </row>
    <row r="5" spans="1:16">
      <c r="A5" s="38" t="s">
        <v>4</v>
      </c>
      <c r="B5" s="38" t="s">
        <v>451</v>
      </c>
      <c r="D5" s="388">
        <v>0</v>
      </c>
      <c r="E5" s="388">
        <v>0</v>
      </c>
      <c r="F5" s="144">
        <v>0</v>
      </c>
    </row>
    <row r="6" spans="1:16">
      <c r="F6" s="504">
        <f>SUM(F2:F5)</f>
        <v>0</v>
      </c>
    </row>
    <row r="11" spans="1:16" ht="18.75">
      <c r="A11" s="512" t="s">
        <v>430</v>
      </c>
      <c r="B11" s="519"/>
      <c r="C11" s="519"/>
    </row>
    <row r="13" spans="1:16" ht="15.75">
      <c r="A13" s="214" t="s">
        <v>171</v>
      </c>
      <c r="B13" s="38"/>
      <c r="C13" s="38"/>
      <c r="D13" s="38"/>
      <c r="E13" s="38"/>
      <c r="F13" s="38"/>
      <c r="G13" s="38"/>
      <c r="H13" s="38"/>
      <c r="I13" s="38"/>
      <c r="L13" s="219" t="s">
        <v>667</v>
      </c>
    </row>
    <row r="14" spans="1:16">
      <c r="A14" s="38"/>
      <c r="B14" s="38"/>
      <c r="C14" s="38"/>
      <c r="D14" s="38"/>
      <c r="E14" s="38"/>
      <c r="F14" s="38"/>
      <c r="G14" s="38"/>
      <c r="H14" s="38"/>
      <c r="I14" s="38"/>
      <c r="M14" s="2">
        <v>2017</v>
      </c>
      <c r="N14" s="2">
        <f>+G18</f>
        <v>2018</v>
      </c>
      <c r="O14" s="2">
        <f>+H18</f>
        <v>2019</v>
      </c>
    </row>
    <row r="15" spans="1:16">
      <c r="A15" s="565" t="s">
        <v>688</v>
      </c>
      <c r="B15" s="565"/>
      <c r="C15" s="565"/>
      <c r="D15" s="565"/>
      <c r="E15" s="565"/>
      <c r="F15" s="565"/>
      <c r="G15" s="565"/>
      <c r="H15" s="565"/>
      <c r="I15" s="565"/>
      <c r="M15" s="354" t="s">
        <v>669</v>
      </c>
      <c r="N15" s="354" t="s">
        <v>669</v>
      </c>
      <c r="O15" s="354" t="s">
        <v>669</v>
      </c>
    </row>
    <row r="16" spans="1:16">
      <c r="A16" s="565"/>
      <c r="B16" s="565"/>
      <c r="C16" s="565"/>
      <c r="D16" s="565"/>
      <c r="E16" s="565"/>
      <c r="F16" s="565"/>
      <c r="G16" s="565"/>
      <c r="H16" s="565"/>
      <c r="I16" s="565"/>
      <c r="L16" t="s">
        <v>157</v>
      </c>
      <c r="M16" s="4">
        <v>500000000</v>
      </c>
      <c r="N16" s="4">
        <v>580000000</v>
      </c>
      <c r="O16" s="4">
        <v>520000000</v>
      </c>
      <c r="P16" s="4"/>
    </row>
    <row r="17" spans="1:16">
      <c r="A17" s="565"/>
      <c r="B17" s="565"/>
      <c r="C17" s="565"/>
      <c r="D17" s="565"/>
      <c r="E17" s="565"/>
      <c r="F17" s="565"/>
      <c r="G17" s="565"/>
      <c r="H17" s="565"/>
      <c r="I17" s="565"/>
      <c r="M17" s="4"/>
      <c r="N17" s="4"/>
      <c r="O17" s="4"/>
      <c r="P17" s="4"/>
    </row>
    <row r="18" spans="1:16">
      <c r="A18" s="202"/>
      <c r="B18" s="202"/>
      <c r="C18" s="202"/>
      <c r="D18" s="202"/>
      <c r="E18" s="202"/>
      <c r="F18" s="466" t="s">
        <v>519</v>
      </c>
      <c r="G18" s="467">
        <f>+D1</f>
        <v>2018</v>
      </c>
      <c r="H18" s="467">
        <f>1+G18</f>
        <v>2019</v>
      </c>
      <c r="I18" s="202"/>
      <c r="L18" t="s">
        <v>13</v>
      </c>
      <c r="M18" s="4">
        <v>325000000</v>
      </c>
      <c r="N18" s="4">
        <v>361800000</v>
      </c>
      <c r="O18" s="4">
        <v>364000000</v>
      </c>
      <c r="P18" s="4"/>
    </row>
    <row r="19" spans="1:16">
      <c r="A19" s="38" t="s">
        <v>1</v>
      </c>
      <c r="B19" s="38" t="str">
        <f>+B2</f>
        <v>Ávöxtun/Arðsemi eigin fjár</v>
      </c>
      <c r="C19" s="38"/>
      <c r="D19" s="38"/>
      <c r="E19" s="38"/>
      <c r="F19" s="38"/>
      <c r="G19" s="464">
        <v>0</v>
      </c>
      <c r="H19" s="464">
        <v>0</v>
      </c>
      <c r="I19" s="38"/>
      <c r="L19" t="s">
        <v>15</v>
      </c>
      <c r="M19" s="4">
        <v>60000000</v>
      </c>
      <c r="N19" s="4">
        <v>75600000</v>
      </c>
      <c r="O19" s="4">
        <v>59800000</v>
      </c>
      <c r="P19" s="4"/>
    </row>
    <row r="20" spans="1:16">
      <c r="A20" s="38" t="s">
        <v>2</v>
      </c>
      <c r="B20" s="38" t="str">
        <f t="shared" ref="B20:B22" si="0">+B3</f>
        <v>Veltuhraði birgða</v>
      </c>
      <c r="C20" s="38"/>
      <c r="D20" s="38"/>
      <c r="E20" s="38"/>
      <c r="F20" s="38"/>
      <c r="G20" s="465">
        <v>0</v>
      </c>
      <c r="H20" s="465">
        <v>0</v>
      </c>
      <c r="I20" s="38"/>
      <c r="L20" t="s">
        <v>279</v>
      </c>
      <c r="M20" s="4">
        <v>35000000</v>
      </c>
      <c r="N20" s="4">
        <v>81000000</v>
      </c>
      <c r="O20" s="4">
        <v>78000000</v>
      </c>
      <c r="P20" s="4"/>
    </row>
    <row r="21" spans="1:16">
      <c r="A21" s="38" t="s">
        <v>145</v>
      </c>
      <c r="B21" s="38" t="str">
        <f t="shared" si="0"/>
        <v>Lausafjárhlutfall</v>
      </c>
      <c r="C21" s="38"/>
      <c r="D21" s="38"/>
      <c r="E21" s="38"/>
      <c r="F21" s="38"/>
      <c r="G21" s="465">
        <v>0</v>
      </c>
      <c r="H21" s="465">
        <v>0</v>
      </c>
      <c r="I21" s="38"/>
      <c r="L21" t="s">
        <v>16</v>
      </c>
      <c r="M21" s="4">
        <v>9500000</v>
      </c>
      <c r="N21" s="4">
        <v>9800000</v>
      </c>
      <c r="O21" s="4">
        <v>9750000</v>
      </c>
      <c r="P21" s="4"/>
    </row>
    <row r="22" spans="1:16">
      <c r="A22" s="38" t="s">
        <v>4</v>
      </c>
      <c r="B22" s="38" t="str">
        <f t="shared" si="0"/>
        <v>Eiginfjárhlutfall</v>
      </c>
      <c r="C22" s="38"/>
      <c r="D22" s="38"/>
      <c r="E22" s="38"/>
      <c r="F22" s="38"/>
      <c r="G22" s="464">
        <v>0</v>
      </c>
      <c r="H22" s="464">
        <v>0</v>
      </c>
      <c r="I22" s="38"/>
      <c r="L22" s="15" t="s">
        <v>23</v>
      </c>
      <c r="M22" s="39">
        <f>+M16-SUM(M18:M21)</f>
        <v>70500000</v>
      </c>
      <c r="N22" s="39">
        <f t="shared" ref="N22:O22" si="1">+N16-SUM(N18:N21)</f>
        <v>51800000</v>
      </c>
      <c r="O22" s="39">
        <f t="shared" si="1"/>
        <v>8450000</v>
      </c>
      <c r="P22" s="4"/>
    </row>
    <row r="23" spans="1:16">
      <c r="A23" s="38"/>
      <c r="B23" s="38"/>
      <c r="C23" s="38"/>
      <c r="D23" s="38"/>
      <c r="E23" s="38"/>
      <c r="F23" s="38"/>
      <c r="G23" s="38"/>
      <c r="H23" s="38"/>
      <c r="I23" s="38"/>
      <c r="M23" s="4"/>
      <c r="N23" s="4"/>
      <c r="O23" s="4"/>
      <c r="P23" s="4"/>
    </row>
    <row r="24" spans="1:16">
      <c r="A24" s="218" t="s">
        <v>289</v>
      </c>
      <c r="B24" s="38"/>
      <c r="C24" s="38"/>
      <c r="D24" s="38"/>
      <c r="E24" s="38"/>
      <c r="F24" s="38"/>
      <c r="G24" s="38"/>
      <c r="H24" s="38"/>
      <c r="I24" s="38"/>
      <c r="L24" t="s">
        <v>280</v>
      </c>
      <c r="M24" s="4">
        <v>-1000000</v>
      </c>
      <c r="N24" s="4">
        <v>-2000000</v>
      </c>
      <c r="O24" s="4">
        <v>-5000000</v>
      </c>
      <c r="P24" s="4"/>
    </row>
    <row r="25" spans="1:16">
      <c r="L25" t="s">
        <v>46</v>
      </c>
      <c r="M25" s="4">
        <v>-13900000</v>
      </c>
      <c r="N25" s="4">
        <v>-1960000</v>
      </c>
      <c r="O25" s="4">
        <v>-690000</v>
      </c>
      <c r="P25" s="4"/>
    </row>
    <row r="26" spans="1:16" ht="15.75" thickBot="1">
      <c r="A26" s="155" t="s">
        <v>260</v>
      </c>
      <c r="B26" s="156"/>
      <c r="C26" s="156"/>
      <c r="D26" s="156"/>
      <c r="E26" s="156"/>
      <c r="F26" s="156"/>
      <c r="G26" s="156"/>
      <c r="H26" s="156"/>
      <c r="I26" s="156"/>
      <c r="L26" s="128" t="s">
        <v>261</v>
      </c>
      <c r="M26" s="128">
        <f>+M22+M24+M25</f>
        <v>55600000</v>
      </c>
      <c r="N26" s="128">
        <f t="shared" ref="N26:O26" si="2">+N22+N24+N25</f>
        <v>47840000</v>
      </c>
      <c r="O26" s="128">
        <f t="shared" si="2"/>
        <v>2760000</v>
      </c>
      <c r="P26" s="4"/>
    </row>
    <row r="27" spans="1:16">
      <c r="M27" s="4"/>
      <c r="N27" s="4"/>
      <c r="O27" s="4"/>
      <c r="P27" s="4"/>
    </row>
    <row r="28" spans="1:16" ht="15.75">
      <c r="L28" s="219" t="s">
        <v>448</v>
      </c>
      <c r="M28" s="4"/>
      <c r="N28" s="4"/>
      <c r="O28" s="4"/>
      <c r="P28" s="4"/>
    </row>
    <row r="29" spans="1:16">
      <c r="A29" s="214" t="s">
        <v>360</v>
      </c>
      <c r="B29" s="214" t="str">
        <f>+B19</f>
        <v>Ávöxtun/Arðsemi eigin fjár</v>
      </c>
      <c r="C29" s="47"/>
      <c r="D29" s="206"/>
      <c r="E29" s="206"/>
      <c r="F29" s="38"/>
      <c r="G29" s="38"/>
      <c r="H29" s="38"/>
      <c r="I29" s="38"/>
      <c r="J29" s="38"/>
      <c r="M29" s="4"/>
      <c r="N29" s="4"/>
      <c r="O29" s="4"/>
      <c r="P29" s="4"/>
    </row>
    <row r="30" spans="1:16">
      <c r="A30" s="38"/>
      <c r="B30" s="207"/>
      <c r="C30" s="47"/>
      <c r="D30" s="206"/>
      <c r="E30" s="206"/>
      <c r="F30" s="38"/>
      <c r="G30" s="38"/>
      <c r="H30" s="38"/>
      <c r="I30" s="38"/>
      <c r="J30" s="38"/>
      <c r="M30" s="549" t="s">
        <v>668</v>
      </c>
      <c r="N30" s="549" t="s">
        <v>668</v>
      </c>
      <c r="O30" s="549" t="s">
        <v>668</v>
      </c>
      <c r="P30" s="4"/>
    </row>
    <row r="31" spans="1:16">
      <c r="A31" s="38"/>
      <c r="B31" s="208"/>
      <c r="C31" s="208"/>
      <c r="D31" s="561"/>
      <c r="E31" s="561"/>
      <c r="F31" s="561"/>
      <c r="G31" s="561"/>
      <c r="H31" s="561"/>
      <c r="I31" s="561"/>
      <c r="J31" s="38"/>
      <c r="L31" s="2" t="s">
        <v>281</v>
      </c>
      <c r="M31" s="4"/>
      <c r="N31" s="4"/>
      <c r="O31" s="4"/>
      <c r="P31" s="4"/>
    </row>
    <row r="32" spans="1:16">
      <c r="A32" s="38"/>
      <c r="B32" s="209"/>
      <c r="C32" s="209"/>
      <c r="D32" s="561"/>
      <c r="E32" s="561"/>
      <c r="F32" s="561"/>
      <c r="G32" s="561"/>
      <c r="H32" s="561"/>
      <c r="I32" s="561"/>
      <c r="J32" s="38"/>
      <c r="M32" s="4"/>
      <c r="N32" s="4"/>
      <c r="O32" s="4"/>
      <c r="P32" s="4"/>
    </row>
    <row r="33" spans="1:16">
      <c r="A33" s="38"/>
      <c r="B33" s="209"/>
      <c r="C33" s="209"/>
      <c r="D33" s="561"/>
      <c r="E33" s="561"/>
      <c r="F33" s="561"/>
      <c r="G33" s="561"/>
      <c r="H33" s="561"/>
      <c r="I33" s="561"/>
      <c r="J33" s="38"/>
      <c r="L33" s="117" t="s">
        <v>285</v>
      </c>
      <c r="M33" s="4"/>
      <c r="N33" s="4"/>
      <c r="O33" s="4"/>
      <c r="P33" s="4"/>
    </row>
    <row r="34" spans="1:16">
      <c r="A34" s="38"/>
      <c r="B34" s="209"/>
      <c r="C34" s="209"/>
      <c r="D34" s="561"/>
      <c r="E34" s="561"/>
      <c r="F34" s="561"/>
      <c r="G34" s="561"/>
      <c r="H34" s="561"/>
      <c r="I34" s="561"/>
      <c r="J34" s="38"/>
      <c r="L34" t="s">
        <v>282</v>
      </c>
      <c r="M34" s="4">
        <v>250000000</v>
      </c>
      <c r="N34" s="4">
        <v>265000000</v>
      </c>
      <c r="O34" s="4">
        <v>270000000</v>
      </c>
      <c r="P34" s="4"/>
    </row>
    <row r="35" spans="1:16">
      <c r="A35" s="210"/>
      <c r="B35" s="211"/>
      <c r="C35" s="212"/>
      <c r="D35" s="561"/>
      <c r="E35" s="561"/>
      <c r="F35" s="561"/>
      <c r="G35" s="561"/>
      <c r="H35" s="561"/>
      <c r="I35" s="561"/>
      <c r="J35" s="38"/>
      <c r="L35" t="s">
        <v>283</v>
      </c>
      <c r="M35" s="4">
        <v>5000000</v>
      </c>
      <c r="N35" s="4">
        <v>50000000</v>
      </c>
      <c r="O35" s="4">
        <v>5000000</v>
      </c>
      <c r="P35" s="4"/>
    </row>
    <row r="36" spans="1:16">
      <c r="A36" s="210"/>
      <c r="B36" s="211"/>
      <c r="C36" s="212"/>
      <c r="D36" s="213"/>
      <c r="E36" s="213"/>
      <c r="F36" s="213"/>
      <c r="G36" s="213"/>
      <c r="H36" s="213"/>
      <c r="I36" s="213"/>
      <c r="J36" s="38"/>
      <c r="M36" s="39">
        <f>SUM(M34:M35)</f>
        <v>255000000</v>
      </c>
      <c r="N36" s="39">
        <f t="shared" ref="N36:O36" si="3">SUM(N34:N35)</f>
        <v>315000000</v>
      </c>
      <c r="O36" s="39">
        <f t="shared" si="3"/>
        <v>275000000</v>
      </c>
    </row>
    <row r="37" spans="1:16">
      <c r="A37" s="210"/>
      <c r="B37" s="38"/>
      <c r="C37" s="38"/>
      <c r="G37" s="213"/>
      <c r="H37" s="213"/>
      <c r="I37" s="213"/>
      <c r="J37" s="38"/>
    </row>
    <row r="38" spans="1:16">
      <c r="A38" s="210"/>
      <c r="B38" s="38"/>
      <c r="C38" s="38"/>
      <c r="E38" s="22"/>
      <c r="F38" s="22"/>
      <c r="G38" s="213"/>
      <c r="H38" s="213"/>
      <c r="I38" s="213"/>
      <c r="J38" s="38"/>
      <c r="L38" s="117" t="s">
        <v>284</v>
      </c>
    </row>
    <row r="39" spans="1:16">
      <c r="A39" s="210"/>
      <c r="B39" s="38"/>
      <c r="C39" s="38"/>
      <c r="E39" s="22"/>
      <c r="F39" s="22"/>
      <c r="G39" s="213"/>
      <c r="H39" s="213"/>
      <c r="I39" s="213"/>
      <c r="J39" s="38"/>
      <c r="L39" t="s">
        <v>149</v>
      </c>
      <c r="M39" s="4">
        <v>50000000</v>
      </c>
      <c r="N39" s="4">
        <v>59000000</v>
      </c>
      <c r="O39" s="4">
        <v>65000000</v>
      </c>
    </row>
    <row r="40" spans="1:16">
      <c r="A40" s="210"/>
      <c r="B40" s="38"/>
      <c r="C40" s="38"/>
      <c r="E40" s="22"/>
      <c r="F40" s="22"/>
      <c r="G40" s="213"/>
      <c r="I40" s="213"/>
      <c r="J40" s="38"/>
      <c r="L40" t="s">
        <v>139</v>
      </c>
      <c r="M40" s="4">
        <v>45000000</v>
      </c>
      <c r="N40" s="4">
        <v>49000000</v>
      </c>
      <c r="O40" s="4">
        <v>47500000</v>
      </c>
    </row>
    <row r="41" spans="1:16">
      <c r="A41" s="210"/>
      <c r="B41" s="207"/>
      <c r="C41" s="47"/>
      <c r="D41" s="206"/>
      <c r="E41" s="378"/>
      <c r="F41" s="378"/>
      <c r="G41" s="213"/>
      <c r="H41" s="376"/>
      <c r="I41" s="213"/>
      <c r="J41" s="38"/>
      <c r="L41" t="s">
        <v>140</v>
      </c>
      <c r="M41" s="4">
        <v>2500000</v>
      </c>
      <c r="N41" s="4">
        <v>3000000</v>
      </c>
      <c r="O41" s="4">
        <v>3500000</v>
      </c>
    </row>
    <row r="42" spans="1:16">
      <c r="A42" s="38"/>
      <c r="B42" s="38"/>
      <c r="C42" s="38"/>
      <c r="D42" s="38"/>
      <c r="E42" s="38"/>
      <c r="F42" s="38"/>
      <c r="G42" s="38"/>
      <c r="H42" s="38"/>
      <c r="I42" s="38"/>
      <c r="J42" s="38"/>
      <c r="L42" t="s">
        <v>141</v>
      </c>
      <c r="M42" s="4">
        <v>35000000</v>
      </c>
      <c r="N42" s="4">
        <v>28000000</v>
      </c>
      <c r="O42" s="4">
        <v>19000000</v>
      </c>
    </row>
    <row r="43" spans="1:16">
      <c r="A43" s="214" t="s">
        <v>2</v>
      </c>
      <c r="B43" s="214" t="str">
        <f>+B20</f>
        <v>Veltuhraði birgða</v>
      </c>
      <c r="C43" s="38"/>
      <c r="D43" s="38"/>
      <c r="E43" s="38"/>
      <c r="F43" s="38"/>
      <c r="G43" s="38"/>
      <c r="H43" s="38"/>
      <c r="I43" s="38"/>
      <c r="J43" s="38"/>
      <c r="M43" s="39">
        <f>SUM(M39:M42)</f>
        <v>132500000</v>
      </c>
      <c r="N43" s="39">
        <f>SUM(N39:N42)</f>
        <v>139000000</v>
      </c>
      <c r="O43" s="39">
        <f>SUM(O39:O42)</f>
        <v>135000000</v>
      </c>
    </row>
    <row r="44" spans="1:16">
      <c r="A44" s="38"/>
      <c r="B44" s="38"/>
      <c r="C44" s="38"/>
      <c r="D44" s="38"/>
      <c r="E44" s="38"/>
      <c r="F44" s="38"/>
      <c r="G44" s="38"/>
      <c r="H44" s="38"/>
      <c r="I44" s="38"/>
      <c r="J44" s="38"/>
    </row>
    <row r="45" spans="1:16" ht="15.75" thickBot="1">
      <c r="A45" s="38"/>
      <c r="B45" s="215"/>
      <c r="C45" s="216"/>
      <c r="D45" s="561"/>
      <c r="E45" s="561"/>
      <c r="F45" s="561"/>
      <c r="G45" s="561"/>
      <c r="H45" s="561"/>
      <c r="I45" s="561"/>
      <c r="J45" s="561"/>
      <c r="L45" s="2" t="s">
        <v>183</v>
      </c>
      <c r="M45" s="129">
        <f>+M36+M43</f>
        <v>387500000</v>
      </c>
      <c r="N45" s="129">
        <f>+N36+N43</f>
        <v>454000000</v>
      </c>
      <c r="O45" s="129">
        <f>+O36+O43</f>
        <v>410000000</v>
      </c>
    </row>
    <row r="46" spans="1:16">
      <c r="A46" s="38"/>
      <c r="B46" s="217"/>
      <c r="C46" s="216"/>
      <c r="D46" s="561"/>
      <c r="E46" s="561"/>
      <c r="F46" s="561"/>
      <c r="G46" s="561"/>
      <c r="H46" s="561"/>
      <c r="I46" s="561"/>
      <c r="J46" s="561"/>
    </row>
    <row r="47" spans="1:16">
      <c r="A47" s="38"/>
      <c r="B47" s="216"/>
      <c r="C47" s="216"/>
      <c r="D47" s="561"/>
      <c r="E47" s="561"/>
      <c r="F47" s="561"/>
      <c r="G47" s="561"/>
      <c r="H47" s="561"/>
      <c r="I47" s="561"/>
      <c r="J47" s="561"/>
    </row>
    <row r="48" spans="1:16">
      <c r="A48" s="38"/>
      <c r="B48" s="38"/>
      <c r="C48" s="38"/>
      <c r="D48" s="561"/>
      <c r="E48" s="561"/>
      <c r="F48" s="561"/>
      <c r="G48" s="561"/>
      <c r="H48" s="561"/>
      <c r="I48" s="561"/>
      <c r="J48" s="561"/>
      <c r="L48" s="2" t="s">
        <v>184</v>
      </c>
    </row>
    <row r="49" spans="1:17">
      <c r="A49" s="38"/>
      <c r="B49" s="38"/>
      <c r="C49" s="38"/>
      <c r="D49" s="38"/>
      <c r="E49" s="38"/>
      <c r="F49" s="38"/>
      <c r="G49" s="38"/>
      <c r="H49" s="38"/>
      <c r="I49" s="38"/>
      <c r="J49" s="38"/>
    </row>
    <row r="50" spans="1:17">
      <c r="A50" s="38"/>
      <c r="B50" s="38"/>
      <c r="C50" s="38"/>
      <c r="D50" s="22"/>
      <c r="E50" s="22"/>
      <c r="F50" s="22"/>
      <c r="G50" s="38"/>
      <c r="H50" s="38"/>
      <c r="I50" s="38"/>
      <c r="J50" s="38"/>
      <c r="L50" s="2" t="s">
        <v>0</v>
      </c>
    </row>
    <row r="51" spans="1:17">
      <c r="A51" s="38"/>
      <c r="B51" s="38"/>
      <c r="C51" s="38"/>
      <c r="D51" s="22"/>
      <c r="E51" s="22"/>
      <c r="F51" s="22"/>
      <c r="G51" s="38"/>
      <c r="H51" s="38"/>
      <c r="I51" s="38"/>
      <c r="J51" s="38"/>
      <c r="L51" s="29"/>
    </row>
    <row r="52" spans="1:17">
      <c r="A52" s="38"/>
      <c r="B52" s="38"/>
      <c r="C52" s="38"/>
      <c r="D52" s="22"/>
      <c r="E52" s="22"/>
      <c r="F52" s="22"/>
      <c r="G52" s="38"/>
      <c r="H52" s="38"/>
      <c r="I52" s="38"/>
      <c r="J52" s="38"/>
      <c r="L52" t="s">
        <v>49</v>
      </c>
      <c r="M52" s="4">
        <v>5000000</v>
      </c>
      <c r="N52" s="4">
        <v>10000000</v>
      </c>
      <c r="O52" s="4">
        <v>15000000</v>
      </c>
    </row>
    <row r="53" spans="1:17">
      <c r="A53" s="38"/>
      <c r="B53" s="38"/>
      <c r="C53" s="38"/>
      <c r="D53" s="38"/>
      <c r="E53" s="38"/>
      <c r="F53" s="38"/>
      <c r="G53" s="38"/>
      <c r="H53" s="38"/>
      <c r="I53" s="38"/>
      <c r="J53" s="38"/>
      <c r="L53" t="s">
        <v>286</v>
      </c>
      <c r="M53" s="4">
        <v>1250000</v>
      </c>
      <c r="N53" s="4">
        <v>1250000</v>
      </c>
      <c r="O53" s="4">
        <v>1250000</v>
      </c>
    </row>
    <row r="54" spans="1:17">
      <c r="A54" s="214" t="s">
        <v>3</v>
      </c>
      <c r="B54" s="214" t="str">
        <f>+B21</f>
        <v>Lausafjárhlutfall</v>
      </c>
      <c r="C54" s="38"/>
      <c r="D54" s="38"/>
      <c r="E54" s="38"/>
      <c r="F54" s="38"/>
      <c r="G54" s="38"/>
      <c r="H54" s="38"/>
      <c r="I54" s="38"/>
      <c r="J54" s="38"/>
      <c r="L54" t="s">
        <v>51</v>
      </c>
      <c r="M54" s="4">
        <v>89400000</v>
      </c>
      <c r="N54" s="4">
        <f>+M54+N26</f>
        <v>137240000</v>
      </c>
      <c r="O54" s="4">
        <v>100000000</v>
      </c>
    </row>
    <row r="55" spans="1:17">
      <c r="A55" s="38"/>
      <c r="B55" s="38"/>
      <c r="C55" s="38"/>
      <c r="D55" s="38"/>
      <c r="E55" s="38"/>
      <c r="F55" s="38"/>
      <c r="G55" s="38"/>
      <c r="H55" s="38"/>
      <c r="I55" s="38"/>
      <c r="J55" s="38"/>
      <c r="M55" s="39">
        <f>SUM(M52:M54)</f>
        <v>95650000</v>
      </c>
      <c r="N55" s="39">
        <f t="shared" ref="N55:O55" si="4">SUM(N52:N54)</f>
        <v>148490000</v>
      </c>
      <c r="O55" s="39">
        <f t="shared" si="4"/>
        <v>116250000</v>
      </c>
    </row>
    <row r="56" spans="1:17">
      <c r="A56" s="38"/>
      <c r="B56" s="215"/>
      <c r="C56" s="216"/>
      <c r="D56" s="561"/>
      <c r="E56" s="561"/>
      <c r="F56" s="561"/>
      <c r="G56" s="561"/>
      <c r="H56" s="561"/>
      <c r="I56" s="561"/>
      <c r="J56" s="561"/>
      <c r="L56" s="2" t="s">
        <v>185</v>
      </c>
    </row>
    <row r="57" spans="1:17">
      <c r="A57" s="38"/>
      <c r="B57" s="217"/>
      <c r="C57" s="216"/>
      <c r="D57" s="561"/>
      <c r="E57" s="561"/>
      <c r="F57" s="561"/>
      <c r="G57" s="561"/>
      <c r="H57" s="561"/>
      <c r="I57" s="561"/>
      <c r="J57" s="561"/>
    </row>
    <row r="58" spans="1:17">
      <c r="D58" s="561"/>
      <c r="E58" s="561"/>
      <c r="F58" s="561"/>
      <c r="G58" s="561"/>
      <c r="H58" s="561"/>
      <c r="I58" s="561"/>
      <c r="J58" s="561"/>
      <c r="L58" s="117" t="s">
        <v>187</v>
      </c>
    </row>
    <row r="59" spans="1:17">
      <c r="D59" s="561"/>
      <c r="E59" s="561"/>
      <c r="F59" s="561"/>
      <c r="G59" s="561"/>
      <c r="H59" s="561"/>
      <c r="I59" s="561"/>
      <c r="J59" s="561"/>
      <c r="L59" t="s">
        <v>287</v>
      </c>
      <c r="M59" s="4">
        <v>205000000</v>
      </c>
      <c r="N59" s="4">
        <v>200000000</v>
      </c>
      <c r="O59" s="4">
        <v>195000000</v>
      </c>
    </row>
    <row r="60" spans="1:17">
      <c r="L60" t="s">
        <v>48</v>
      </c>
      <c r="M60" s="4">
        <v>7950000</v>
      </c>
      <c r="N60" s="4">
        <v>7856000</v>
      </c>
      <c r="O60" s="4">
        <v>7200000</v>
      </c>
    </row>
    <row r="61" spans="1:17">
      <c r="B61" s="38"/>
      <c r="C61" s="38"/>
      <c r="D61" s="38"/>
      <c r="E61" s="38"/>
      <c r="F61" s="38"/>
      <c r="M61" s="39">
        <f>SUM(M59:M60)</f>
        <v>212950000</v>
      </c>
      <c r="N61" s="39">
        <f t="shared" ref="N61:O61" si="5">SUM(N59:N60)</f>
        <v>207856000</v>
      </c>
      <c r="O61" s="39">
        <f t="shared" si="5"/>
        <v>202200000</v>
      </c>
    </row>
    <row r="62" spans="1:17">
      <c r="A62" s="38"/>
      <c r="B62" s="38"/>
      <c r="C62" s="38"/>
      <c r="D62" s="38"/>
      <c r="E62" s="38"/>
      <c r="F62" s="38"/>
      <c r="G62" s="38"/>
      <c r="H62" s="38"/>
      <c r="I62" s="38"/>
      <c r="J62" s="38"/>
      <c r="L62" s="117" t="s">
        <v>189</v>
      </c>
    </row>
    <row r="63" spans="1:17">
      <c r="A63" s="38"/>
      <c r="B63" s="38"/>
      <c r="C63" s="38"/>
      <c r="D63" s="38"/>
      <c r="E63" s="38"/>
      <c r="F63" s="38"/>
      <c r="G63" s="38"/>
      <c r="H63" s="38"/>
      <c r="I63" s="38"/>
      <c r="J63" s="38"/>
      <c r="L63" t="s">
        <v>339</v>
      </c>
      <c r="M63" s="4">
        <v>60000000</v>
      </c>
      <c r="N63" s="4">
        <v>90694000</v>
      </c>
      <c r="O63" s="4">
        <v>85860000</v>
      </c>
      <c r="Q63" s="4"/>
    </row>
    <row r="64" spans="1:17">
      <c r="A64" s="38"/>
      <c r="B64" s="38"/>
      <c r="C64" s="38"/>
      <c r="D64" s="38"/>
      <c r="E64" s="38"/>
      <c r="F64" s="38"/>
      <c r="G64" s="38"/>
      <c r="H64" s="38"/>
      <c r="I64" s="38"/>
      <c r="J64" s="38"/>
      <c r="L64" t="s">
        <v>288</v>
      </c>
      <c r="M64" s="4">
        <v>5000000</v>
      </c>
      <c r="N64" s="4">
        <v>5000000</v>
      </c>
      <c r="O64" s="4">
        <v>5000000</v>
      </c>
    </row>
    <row r="65" spans="1:15">
      <c r="A65" s="38"/>
      <c r="B65" s="38"/>
      <c r="C65" s="38"/>
      <c r="D65" s="38"/>
      <c r="E65" s="38"/>
      <c r="F65" s="38"/>
      <c r="G65" s="38"/>
      <c r="H65" s="38"/>
      <c r="I65" s="38"/>
      <c r="J65" s="38"/>
      <c r="L65" t="s">
        <v>192</v>
      </c>
      <c r="M65" s="4">
        <v>13900000</v>
      </c>
      <c r="N65" s="4">
        <v>1960000</v>
      </c>
      <c r="O65" s="4">
        <v>690000</v>
      </c>
    </row>
    <row r="66" spans="1:15">
      <c r="A66" s="214" t="s">
        <v>278</v>
      </c>
      <c r="B66" s="214" t="str">
        <f>+B22</f>
        <v>Eiginfjárhlutfall</v>
      </c>
      <c r="C66" s="38"/>
      <c r="D66" s="38"/>
      <c r="E66" s="38"/>
      <c r="F66" s="38"/>
      <c r="G66" s="38"/>
      <c r="H66" s="38"/>
      <c r="I66" s="38"/>
      <c r="J66" s="38"/>
      <c r="M66" s="39">
        <f>SUM(M63:M65)</f>
        <v>78900000</v>
      </c>
      <c r="N66" s="39">
        <f t="shared" ref="N66:O66" si="6">SUM(N63:N65)</f>
        <v>97654000</v>
      </c>
      <c r="O66" s="39">
        <f t="shared" si="6"/>
        <v>91550000</v>
      </c>
    </row>
    <row r="67" spans="1:15">
      <c r="A67" s="38"/>
      <c r="B67" s="38"/>
      <c r="C67" s="38"/>
      <c r="D67" s="38"/>
      <c r="E67" s="38"/>
      <c r="F67" s="38"/>
      <c r="G67" s="38"/>
      <c r="H67" s="38"/>
      <c r="I67" s="38"/>
      <c r="J67" s="38"/>
    </row>
    <row r="68" spans="1:15" ht="15.75" thickBot="1">
      <c r="A68" s="38"/>
      <c r="B68" s="215"/>
      <c r="C68" s="216"/>
      <c r="D68" s="561"/>
      <c r="E68" s="561"/>
      <c r="F68" s="561"/>
      <c r="G68" s="561"/>
      <c r="H68" s="561"/>
      <c r="I68" s="561"/>
      <c r="J68" s="561"/>
      <c r="L68" s="2" t="s">
        <v>194</v>
      </c>
      <c r="M68" s="129">
        <f>+M55+M61+M66</f>
        <v>387500000</v>
      </c>
      <c r="N68" s="129">
        <f>+N55+N61+N66</f>
        <v>454000000</v>
      </c>
      <c r="O68" s="129">
        <f>+O55+O61+O66</f>
        <v>410000000</v>
      </c>
    </row>
    <row r="69" spans="1:15">
      <c r="A69" s="38"/>
      <c r="B69" s="217"/>
      <c r="C69" s="216"/>
      <c r="D69" s="561"/>
      <c r="E69" s="561"/>
      <c r="F69" s="561"/>
      <c r="G69" s="561"/>
      <c r="H69" s="561"/>
      <c r="I69" s="561"/>
      <c r="J69" s="561"/>
      <c r="L69" s="2"/>
      <c r="M69" s="37"/>
      <c r="N69" s="37"/>
      <c r="O69" s="37"/>
    </row>
    <row r="70" spans="1:15">
      <c r="D70" s="561"/>
      <c r="E70" s="561"/>
      <c r="F70" s="561"/>
      <c r="G70" s="561"/>
      <c r="H70" s="561"/>
      <c r="I70" s="561"/>
      <c r="J70" s="561"/>
    </row>
    <row r="71" spans="1:15">
      <c r="D71" s="561"/>
      <c r="E71" s="561"/>
      <c r="F71" s="561"/>
      <c r="G71" s="561"/>
      <c r="H71" s="561"/>
      <c r="I71" s="561"/>
      <c r="J71" s="561"/>
    </row>
    <row r="72" spans="1:15">
      <c r="A72" s="38"/>
      <c r="G72" s="38"/>
      <c r="H72" s="38"/>
      <c r="I72" s="38"/>
      <c r="J72" s="38"/>
    </row>
    <row r="73" spans="1:15">
      <c r="A73" s="38"/>
      <c r="B73" s="38"/>
      <c r="C73" s="38"/>
      <c r="D73" s="214"/>
      <c r="E73" s="30"/>
      <c r="F73" s="30"/>
      <c r="G73" s="38"/>
      <c r="H73" s="38"/>
      <c r="I73" s="38"/>
      <c r="J73" s="38"/>
    </row>
    <row r="74" spans="1:15">
      <c r="B74" s="38"/>
      <c r="C74" s="38"/>
      <c r="D74" s="214"/>
      <c r="E74" s="30"/>
      <c r="F74" s="30"/>
      <c r="G74" s="38"/>
    </row>
    <row r="75" spans="1:15">
      <c r="B75" s="38"/>
      <c r="C75" s="38"/>
      <c r="D75" s="214"/>
      <c r="E75" s="30"/>
      <c r="F75" s="30"/>
      <c r="G75" s="38"/>
    </row>
    <row r="76" spans="1:15">
      <c r="B76" s="38"/>
      <c r="C76" s="38"/>
      <c r="D76" s="214"/>
      <c r="E76" s="30"/>
      <c r="F76" s="30"/>
      <c r="G76" s="38"/>
      <c r="M76" s="4"/>
      <c r="N76" s="4"/>
      <c r="O76" s="4"/>
    </row>
  </sheetData>
  <mergeCells count="1">
    <mergeCell ref="A15:I17"/>
  </mergeCells>
  <pageMargins left="0.7" right="0.7" top="0.75" bottom="0.75" header="0.3" footer="0.3"/>
  <pageSetup paperSize="9" scale="89" orientation="portrait" r:id="rId1"/>
  <rowBreaks count="1" manualBreakCount="1">
    <brk id="10" max="16383" man="1"/>
  </rowBreaks>
  <colBreaks count="1" manualBreakCount="1">
    <brk id="10"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tabColor theme="4" tint="-0.249977111117893"/>
  </sheetPr>
  <dimension ref="A2:H90"/>
  <sheetViews>
    <sheetView topLeftCell="A53" zoomScaleNormal="100" zoomScaleSheetLayoutView="100" workbookViewId="0">
      <selection activeCell="F70" sqref="F70"/>
    </sheetView>
  </sheetViews>
  <sheetFormatPr defaultRowHeight="15"/>
  <cols>
    <col min="1" max="1" width="6.85546875" customWidth="1"/>
    <col min="2" max="2" width="12.140625" customWidth="1"/>
    <col min="3" max="3" width="17" customWidth="1"/>
    <col min="4" max="4" width="24.42578125" customWidth="1"/>
    <col min="5" max="5" width="13.7109375" customWidth="1"/>
    <col min="6" max="6" width="16.140625" bestFit="1" customWidth="1"/>
    <col min="7" max="7" width="13.85546875" customWidth="1"/>
    <col min="8" max="8" width="13.85546875" style="38" customWidth="1"/>
  </cols>
  <sheetData>
    <row r="2" spans="1:8">
      <c r="C2" s="38" t="s">
        <v>491</v>
      </c>
      <c r="D2" s="468" t="e">
        <f>+#REF!</f>
        <v>#REF!</v>
      </c>
      <c r="F2" s="391">
        <v>0</v>
      </c>
      <c r="G2" s="144">
        <v>0</v>
      </c>
      <c r="H2" s="193"/>
    </row>
    <row r="3" spans="1:8">
      <c r="C3" s="38" t="s">
        <v>492</v>
      </c>
      <c r="D3" s="468" t="e">
        <f>+#REF!</f>
        <v>#REF!</v>
      </c>
      <c r="F3" s="391">
        <v>0</v>
      </c>
      <c r="G3" s="144">
        <v>0</v>
      </c>
      <c r="H3" s="193"/>
    </row>
    <row r="4" spans="1:8">
      <c r="C4" s="38" t="s">
        <v>493</v>
      </c>
      <c r="D4" s="468" t="e">
        <f>+#REF!</f>
        <v>#REF!</v>
      </c>
      <c r="F4" s="391">
        <v>0</v>
      </c>
      <c r="G4" s="144">
        <v>0</v>
      </c>
      <c r="H4" s="193"/>
    </row>
    <row r="5" spans="1:8">
      <c r="C5" s="38" t="s">
        <v>494</v>
      </c>
      <c r="D5" s="468" t="e">
        <f>+#REF!</f>
        <v>#REF!</v>
      </c>
      <c r="F5" s="391">
        <v>0</v>
      </c>
      <c r="G5" s="144">
        <v>0</v>
      </c>
      <c r="H5" s="193"/>
    </row>
    <row r="6" spans="1:8">
      <c r="C6" s="38" t="s">
        <v>490</v>
      </c>
      <c r="D6" t="s">
        <v>520</v>
      </c>
      <c r="F6" s="391">
        <v>0</v>
      </c>
      <c r="G6" s="144">
        <v>0</v>
      </c>
      <c r="H6" s="193"/>
    </row>
    <row r="7" spans="1:8">
      <c r="F7" s="4"/>
      <c r="G7" s="507">
        <f>SUM(G2:G6)</f>
        <v>0</v>
      </c>
      <c r="H7" s="193"/>
    </row>
    <row r="10" spans="1:8" ht="21">
      <c r="A10" s="513" t="s">
        <v>340</v>
      </c>
      <c r="B10" s="518"/>
      <c r="C10" s="518"/>
    </row>
    <row r="12" spans="1:8">
      <c r="A12" s="178" t="s">
        <v>473</v>
      </c>
    </row>
    <row r="14" spans="1:8" ht="15" customHeight="1">
      <c r="A14" s="569" t="s">
        <v>670</v>
      </c>
      <c r="B14" s="569"/>
      <c r="C14" s="569"/>
      <c r="D14" s="569"/>
      <c r="E14" s="569"/>
      <c r="F14" s="569"/>
      <c r="G14" s="569"/>
      <c r="H14" s="359"/>
    </row>
    <row r="15" spans="1:8">
      <c r="A15" s="569"/>
      <c r="B15" s="569"/>
      <c r="C15" s="569"/>
      <c r="D15" s="569"/>
      <c r="E15" s="569"/>
      <c r="F15" s="569"/>
      <c r="G15" s="569"/>
      <c r="H15" s="359"/>
    </row>
    <row r="16" spans="1:8">
      <c r="A16" s="569"/>
      <c r="B16" s="569"/>
      <c r="C16" s="569"/>
      <c r="D16" s="569"/>
      <c r="E16" s="569"/>
      <c r="F16" s="569"/>
      <c r="G16" s="569"/>
      <c r="H16" s="359"/>
    </row>
    <row r="17" spans="1:8">
      <c r="E17" s="4"/>
    </row>
    <row r="18" spans="1:8">
      <c r="A18" s="2"/>
      <c r="B18" t="s">
        <v>474</v>
      </c>
      <c r="E18" s="4"/>
      <c r="F18" s="22">
        <v>3950318</v>
      </c>
      <c r="G18" s="22"/>
    </row>
    <row r="19" spans="1:8">
      <c r="B19" s="389" t="s">
        <v>475</v>
      </c>
      <c r="C19" s="390"/>
      <c r="D19" s="390"/>
      <c r="E19" s="390"/>
      <c r="F19" s="22">
        <v>2650751</v>
      </c>
      <c r="G19" s="390"/>
      <c r="H19" s="220"/>
    </row>
    <row r="20" spans="1:8">
      <c r="B20" s="47"/>
      <c r="C20" s="47"/>
      <c r="D20" s="47"/>
      <c r="E20" s="360"/>
      <c r="F20" s="360"/>
      <c r="G20" s="360"/>
      <c r="H20" s="22"/>
    </row>
    <row r="21" spans="1:8">
      <c r="B21" s="47"/>
      <c r="C21" s="47"/>
      <c r="D21" s="47"/>
      <c r="E21" s="360"/>
      <c r="F21" s="360"/>
      <c r="G21" s="360"/>
      <c r="H21" s="22"/>
    </row>
    <row r="22" spans="1:8">
      <c r="A22" s="569" t="s">
        <v>476</v>
      </c>
      <c r="B22" s="569"/>
      <c r="C22" s="569"/>
      <c r="D22" s="569"/>
      <c r="E22" s="569"/>
      <c r="F22" s="569"/>
      <c r="G22" s="569"/>
      <c r="H22" s="22"/>
    </row>
    <row r="23" spans="1:8">
      <c r="A23" s="569"/>
      <c r="B23" s="569"/>
      <c r="C23" s="569"/>
      <c r="D23" s="569"/>
      <c r="E23" s="569"/>
      <c r="F23" s="569"/>
      <c r="G23" s="569"/>
      <c r="H23" s="22"/>
    </row>
    <row r="24" spans="1:8">
      <c r="A24" s="569"/>
      <c r="B24" s="569"/>
      <c r="C24" s="569"/>
      <c r="D24" s="569"/>
      <c r="E24" s="569"/>
      <c r="F24" s="569"/>
      <c r="G24" s="569"/>
      <c r="H24" s="22"/>
    </row>
    <row r="25" spans="1:8">
      <c r="B25" s="47"/>
      <c r="C25" s="47"/>
      <c r="D25" s="47"/>
      <c r="E25" s="47"/>
      <c r="F25" s="47"/>
      <c r="G25" s="360"/>
      <c r="H25" s="360"/>
    </row>
    <row r="26" spans="1:8">
      <c r="A26">
        <v>1</v>
      </c>
      <c r="B26" s="577" t="s">
        <v>671</v>
      </c>
      <c r="C26" s="577"/>
      <c r="D26" s="577"/>
      <c r="E26" s="577"/>
      <c r="F26" s="577"/>
      <c r="G26" s="577"/>
    </row>
    <row r="27" spans="1:8">
      <c r="B27" s="577"/>
      <c r="C27" s="577"/>
      <c r="D27" s="577"/>
      <c r="E27" s="577"/>
      <c r="F27" s="577"/>
      <c r="G27" s="577"/>
    </row>
    <row r="28" spans="1:8" ht="15.75" customHeight="1">
      <c r="A28">
        <v>2</v>
      </c>
      <c r="B28" s="577" t="s">
        <v>495</v>
      </c>
      <c r="C28" s="577"/>
      <c r="D28" s="577"/>
      <c r="E28" s="577"/>
      <c r="F28" s="577"/>
      <c r="G28" s="577"/>
    </row>
    <row r="29" spans="1:8">
      <c r="B29" s="577"/>
      <c r="C29" s="577"/>
      <c r="D29" s="577"/>
      <c r="E29" s="577"/>
      <c r="F29" s="577"/>
      <c r="G29" s="577"/>
    </row>
    <row r="30" spans="1:8">
      <c r="B30" s="577"/>
      <c r="C30" s="577"/>
      <c r="D30" s="577"/>
      <c r="E30" s="577"/>
      <c r="F30" s="577"/>
      <c r="G30" s="577"/>
    </row>
    <row r="31" spans="1:8">
      <c r="A31">
        <v>3</v>
      </c>
      <c r="B31" s="578" t="s">
        <v>672</v>
      </c>
      <c r="C31" s="578"/>
      <c r="D31" s="578"/>
      <c r="E31" s="578"/>
      <c r="F31" s="578"/>
      <c r="G31" s="578"/>
    </row>
    <row r="32" spans="1:8">
      <c r="B32" s="578"/>
      <c r="C32" s="578"/>
      <c r="D32" s="578"/>
      <c r="E32" s="578"/>
      <c r="F32" s="578"/>
      <c r="G32" s="578"/>
    </row>
    <row r="33" spans="1:8">
      <c r="A33">
        <v>4</v>
      </c>
      <c r="B33" s="578" t="s">
        <v>673</v>
      </c>
      <c r="C33" s="578"/>
      <c r="D33" s="578"/>
      <c r="E33" s="578"/>
      <c r="F33" s="578"/>
      <c r="G33" s="578"/>
      <c r="H33" s="214"/>
    </row>
    <row r="34" spans="1:8">
      <c r="B34" s="578"/>
      <c r="C34" s="578"/>
      <c r="D34" s="578"/>
      <c r="E34" s="578"/>
      <c r="F34" s="578"/>
      <c r="G34" s="578"/>
    </row>
    <row r="36" spans="1:8">
      <c r="A36" s="576" t="s">
        <v>489</v>
      </c>
      <c r="B36" s="576"/>
      <c r="C36" s="576"/>
      <c r="D36" s="576"/>
      <c r="E36" s="576"/>
      <c r="F36" s="576"/>
      <c r="G36" s="576"/>
    </row>
    <row r="37" spans="1:8">
      <c r="A37" s="576"/>
      <c r="B37" s="576"/>
      <c r="C37" s="576"/>
      <c r="D37" s="576"/>
      <c r="E37" s="576"/>
      <c r="F37" s="576"/>
      <c r="G37" s="576"/>
    </row>
    <row r="38" spans="1:8">
      <c r="A38" s="576"/>
      <c r="B38" s="576"/>
      <c r="C38" s="576"/>
      <c r="D38" s="576"/>
      <c r="E38" s="576"/>
      <c r="F38" s="576"/>
      <c r="G38" s="576"/>
    </row>
    <row r="39" spans="1:8">
      <c r="A39" s="576"/>
      <c r="B39" s="576"/>
      <c r="C39" s="576"/>
      <c r="D39" s="576"/>
      <c r="E39" s="576"/>
      <c r="F39" s="576"/>
      <c r="G39" s="576"/>
    </row>
    <row r="41" spans="1:8" s="392" customFormat="1" ht="15.75">
      <c r="A41"/>
      <c r="B41"/>
      <c r="C41"/>
      <c r="D41"/>
      <c r="E41"/>
      <c r="F41"/>
      <c r="G41"/>
      <c r="H41" s="38"/>
    </row>
    <row r="42" spans="1:8" s="392" customFormat="1" ht="15.75">
      <c r="A42"/>
      <c r="B42"/>
      <c r="C42"/>
      <c r="D42"/>
      <c r="E42"/>
      <c r="F42"/>
      <c r="G42"/>
      <c r="H42" s="38"/>
    </row>
    <row r="43" spans="1:8" s="392" customFormat="1" ht="15.75">
      <c r="A43"/>
      <c r="B43"/>
      <c r="C43"/>
      <c r="D43"/>
      <c r="E43"/>
      <c r="F43"/>
      <c r="G43"/>
      <c r="H43" s="38"/>
    </row>
    <row r="44" spans="1:8" s="392" customFormat="1" ht="15.75">
      <c r="A44"/>
      <c r="B44" s="2" t="s">
        <v>702</v>
      </c>
      <c r="C44"/>
      <c r="D44"/>
      <c r="E44"/>
      <c r="F44"/>
      <c r="G44"/>
      <c r="H44" s="393"/>
    </row>
    <row r="45" spans="1:8" s="392" customFormat="1" ht="15.75">
      <c r="C45" s="457"/>
      <c r="H45" s="393"/>
    </row>
    <row r="46" spans="1:8" s="392" customFormat="1" ht="16.5" thickBot="1">
      <c r="C46" s="457"/>
    </row>
    <row r="47" spans="1:8" s="392" customFormat="1" ht="15.75">
      <c r="B47" s="394" t="s">
        <v>239</v>
      </c>
      <c r="C47" s="443"/>
      <c r="D47" s="395" t="s">
        <v>477</v>
      </c>
      <c r="E47" s="395" t="s">
        <v>478</v>
      </c>
      <c r="F47" s="396"/>
    </row>
    <row r="48" spans="1:8" s="392" customFormat="1" ht="15.75">
      <c r="B48" s="397"/>
      <c r="C48" s="444"/>
      <c r="D48" s="398">
        <v>43738</v>
      </c>
      <c r="E48" s="399" t="s">
        <v>479</v>
      </c>
      <c r="F48" s="400"/>
    </row>
    <row r="49" spans="2:6" s="392" customFormat="1" ht="16.5" thickBot="1">
      <c r="B49" s="401"/>
      <c r="C49" s="445"/>
      <c r="D49" s="402"/>
      <c r="E49" s="402"/>
      <c r="F49" s="403"/>
    </row>
    <row r="50" spans="2:6" s="392" customFormat="1" ht="15.75">
      <c r="B50" s="404"/>
      <c r="C50" s="446"/>
      <c r="D50" s="405"/>
      <c r="E50" s="405"/>
      <c r="F50" s="406"/>
    </row>
    <row r="51" spans="2:6" s="392" customFormat="1" ht="15.75">
      <c r="B51" s="433" t="s">
        <v>480</v>
      </c>
      <c r="C51" s="447" t="s">
        <v>481</v>
      </c>
      <c r="D51" s="433" t="s">
        <v>482</v>
      </c>
      <c r="E51" s="433"/>
      <c r="F51" s="433" t="s">
        <v>57</v>
      </c>
    </row>
    <row r="52" spans="2:6" s="392" customFormat="1" ht="15.75">
      <c r="B52" s="407">
        <f>D48</f>
        <v>43738</v>
      </c>
      <c r="C52" s="448" t="s">
        <v>335</v>
      </c>
      <c r="D52" s="408" t="s">
        <v>483</v>
      </c>
      <c r="E52" s="409"/>
      <c r="F52" s="410"/>
    </row>
    <row r="53" spans="2:6" s="392" customFormat="1" ht="15.75">
      <c r="B53" s="411"/>
      <c r="C53" s="449"/>
      <c r="D53" s="412"/>
      <c r="E53" s="413"/>
      <c r="F53" s="414"/>
    </row>
    <row r="54" spans="2:6" s="392" customFormat="1" ht="15.75">
      <c r="B54" s="437"/>
      <c r="C54" s="449"/>
      <c r="D54" s="412"/>
      <c r="E54" s="413"/>
      <c r="F54" s="414"/>
    </row>
    <row r="55" spans="2:6" s="392" customFormat="1" ht="15.75">
      <c r="B55" s="438"/>
      <c r="C55" s="450"/>
      <c r="D55" s="416"/>
      <c r="E55" s="417"/>
      <c r="F55" s="415"/>
    </row>
    <row r="56" spans="2:6" s="392" customFormat="1" ht="15.75">
      <c r="B56" s="438"/>
      <c r="C56" s="450"/>
      <c r="D56" s="416"/>
      <c r="E56" s="417"/>
      <c r="F56" s="415"/>
    </row>
    <row r="57" spans="2:6" s="392" customFormat="1" ht="15.75">
      <c r="B57" s="438"/>
      <c r="C57" s="450"/>
      <c r="D57" s="416"/>
      <c r="E57" s="417"/>
      <c r="F57" s="415"/>
    </row>
    <row r="58" spans="2:6" s="392" customFormat="1" ht="15.75">
      <c r="B58" s="438"/>
      <c r="C58" s="450"/>
      <c r="D58" s="416"/>
      <c r="E58" s="417"/>
      <c r="F58" s="415"/>
    </row>
    <row r="59" spans="2:6" s="392" customFormat="1" ht="15.75">
      <c r="B59" s="438"/>
      <c r="C59" s="450"/>
      <c r="D59" s="416"/>
      <c r="E59" s="417"/>
      <c r="F59" s="415"/>
    </row>
    <row r="60" spans="2:6" s="392" customFormat="1" ht="15.75">
      <c r="B60" s="438"/>
      <c r="C60" s="450"/>
      <c r="D60" s="416"/>
      <c r="E60" s="417"/>
      <c r="F60" s="415"/>
    </row>
    <row r="61" spans="2:6" s="392" customFormat="1" ht="15.75">
      <c r="B61" s="438"/>
      <c r="C61" s="450"/>
      <c r="D61" s="416"/>
      <c r="E61" s="417"/>
      <c r="F61" s="415"/>
    </row>
    <row r="62" spans="2:6" s="392" customFormat="1" ht="15.75">
      <c r="B62" s="438"/>
      <c r="C62" s="450"/>
      <c r="D62" s="416"/>
      <c r="E62" s="417"/>
      <c r="F62" s="415"/>
    </row>
    <row r="63" spans="2:6" s="392" customFormat="1" ht="15.75">
      <c r="B63" s="438"/>
      <c r="C63" s="450"/>
      <c r="D63" s="416"/>
      <c r="E63" s="417"/>
      <c r="F63" s="415"/>
    </row>
    <row r="64" spans="2:6" s="392" customFormat="1" ht="15.75">
      <c r="B64" s="438"/>
      <c r="C64" s="450"/>
      <c r="D64" s="416"/>
      <c r="E64" s="417"/>
      <c r="F64" s="415"/>
    </row>
    <row r="65" spans="2:6" s="392" customFormat="1" ht="15.75">
      <c r="B65" s="438"/>
      <c r="C65" s="450"/>
      <c r="D65" s="416"/>
      <c r="E65" s="417"/>
      <c r="F65" s="415"/>
    </row>
    <row r="66" spans="2:6" s="392" customFormat="1" ht="15.75">
      <c r="B66" s="438"/>
      <c r="C66" s="450"/>
      <c r="D66" s="416"/>
      <c r="E66" s="417"/>
      <c r="F66" s="415"/>
    </row>
    <row r="67" spans="2:6" s="392" customFormat="1" ht="15.75">
      <c r="B67" s="438"/>
      <c r="C67" s="450"/>
      <c r="D67" s="416"/>
      <c r="E67" s="417"/>
      <c r="F67" s="415"/>
    </row>
    <row r="68" spans="2:6" s="392" customFormat="1" ht="15.75">
      <c r="B68" s="438"/>
      <c r="C68" s="450"/>
      <c r="D68" s="416"/>
      <c r="E68" s="417"/>
      <c r="F68" s="415"/>
    </row>
    <row r="69" spans="2:6" s="392" customFormat="1" ht="15.75">
      <c r="B69" s="439"/>
      <c r="C69" s="451"/>
      <c r="D69" s="419"/>
      <c r="E69" s="420"/>
      <c r="F69" s="418"/>
    </row>
    <row r="70" spans="2:6" s="392" customFormat="1" ht="15.75">
      <c r="B70" s="421">
        <f>+D48</f>
        <v>43738</v>
      </c>
      <c r="C70" s="446"/>
      <c r="D70" s="423" t="s">
        <v>484</v>
      </c>
      <c r="E70" s="424"/>
      <c r="F70" s="425">
        <f>SUM(F52:F69)</f>
        <v>0</v>
      </c>
    </row>
    <row r="71" spans="2:6" s="392" customFormat="1" ht="15.75">
      <c r="B71" s="440"/>
      <c r="C71" s="446"/>
      <c r="D71" s="422"/>
      <c r="E71" s="424"/>
      <c r="F71" s="426"/>
    </row>
    <row r="72" spans="2:6" s="392" customFormat="1" ht="15.75">
      <c r="B72" s="440"/>
      <c r="C72" s="446"/>
      <c r="D72" s="422"/>
      <c r="E72" s="422"/>
      <c r="F72" s="426"/>
    </row>
    <row r="73" spans="2:6" s="392" customFormat="1" ht="15.75">
      <c r="B73" s="441" t="s">
        <v>480</v>
      </c>
      <c r="C73" s="452" t="s">
        <v>485</v>
      </c>
      <c r="D73" s="432" t="s">
        <v>482</v>
      </c>
      <c r="E73" s="432"/>
      <c r="F73" s="432" t="s">
        <v>57</v>
      </c>
    </row>
    <row r="74" spans="2:6" s="392" customFormat="1" ht="15.75">
      <c r="B74" s="407">
        <f>+B70</f>
        <v>43738</v>
      </c>
      <c r="C74" s="453"/>
      <c r="D74" s="408" t="s">
        <v>486</v>
      </c>
      <c r="E74" s="409"/>
      <c r="F74" s="410"/>
    </row>
    <row r="75" spans="2:6" s="392" customFormat="1" ht="15.75">
      <c r="B75" s="411"/>
      <c r="C75" s="454"/>
      <c r="D75" s="412"/>
      <c r="E75" s="413"/>
      <c r="F75" s="414"/>
    </row>
    <row r="76" spans="2:6" s="392" customFormat="1" ht="15.75">
      <c r="B76" s="411"/>
      <c r="C76" s="455"/>
      <c r="D76" s="412"/>
      <c r="E76" s="413"/>
      <c r="F76" s="414"/>
    </row>
    <row r="77" spans="2:6" s="392" customFormat="1" ht="15.75">
      <c r="B77" s="438"/>
      <c r="C77" s="455"/>
      <c r="D77" s="416"/>
      <c r="E77" s="417"/>
      <c r="F77" s="415"/>
    </row>
    <row r="78" spans="2:6" s="392" customFormat="1" ht="15.75">
      <c r="B78" s="438"/>
      <c r="C78" s="455"/>
      <c r="D78" s="416"/>
      <c r="E78" s="417"/>
      <c r="F78" s="415"/>
    </row>
    <row r="79" spans="2:6" s="392" customFormat="1" ht="15.75">
      <c r="B79" s="438"/>
      <c r="C79" s="455"/>
      <c r="D79" s="416"/>
      <c r="E79" s="417"/>
      <c r="F79" s="415"/>
    </row>
    <row r="80" spans="2:6" s="392" customFormat="1" ht="15.75">
      <c r="B80" s="438"/>
      <c r="C80" s="455"/>
      <c r="D80" s="416"/>
      <c r="E80" s="417"/>
      <c r="F80" s="415"/>
    </row>
    <row r="81" spans="1:8" s="392" customFormat="1" ht="15.75">
      <c r="B81" s="438"/>
      <c r="C81" s="449"/>
      <c r="D81" s="416"/>
      <c r="E81" s="417"/>
      <c r="F81" s="415"/>
    </row>
    <row r="82" spans="1:8" ht="15.75">
      <c r="A82" s="392"/>
      <c r="B82" s="439"/>
      <c r="C82" s="456"/>
      <c r="D82" s="419"/>
      <c r="E82" s="420"/>
      <c r="F82" s="418"/>
      <c r="G82" s="392"/>
      <c r="H82" s="392"/>
    </row>
    <row r="83" spans="1:8" ht="15.75">
      <c r="A83" s="392"/>
      <c r="B83" s="421">
        <f>+B74</f>
        <v>43738</v>
      </c>
      <c r="C83" s="446"/>
      <c r="D83" s="427" t="s">
        <v>487</v>
      </c>
      <c r="E83" s="424"/>
      <c r="F83" s="428">
        <f>SUM(F74:F82)</f>
        <v>0</v>
      </c>
      <c r="G83" s="392"/>
      <c r="H83" s="392"/>
    </row>
    <row r="84" spans="1:8" ht="15.75">
      <c r="A84" s="392"/>
      <c r="B84" s="422"/>
      <c r="C84" s="446"/>
      <c r="D84" s="429"/>
      <c r="E84" s="424"/>
      <c r="F84" s="430"/>
      <c r="G84" s="392"/>
      <c r="H84" s="392"/>
    </row>
    <row r="85" spans="1:8" ht="16.5" thickBot="1">
      <c r="A85" s="392"/>
      <c r="B85" s="422"/>
      <c r="C85" s="446"/>
      <c r="D85" s="429" t="s">
        <v>488</v>
      </c>
      <c r="E85" s="424"/>
      <c r="F85" s="431">
        <f>F70-F83</f>
        <v>0</v>
      </c>
      <c r="G85" s="392"/>
    </row>
    <row r="86" spans="1:8">
      <c r="C86" s="442"/>
    </row>
    <row r="87" spans="1:8">
      <c r="C87" s="442"/>
    </row>
    <row r="88" spans="1:8">
      <c r="C88" s="442"/>
    </row>
    <row r="89" spans="1:8">
      <c r="C89" s="442"/>
    </row>
    <row r="90" spans="1:8">
      <c r="C90" s="442"/>
    </row>
  </sheetData>
  <mergeCells count="7">
    <mergeCell ref="A36:G39"/>
    <mergeCell ref="A14:G16"/>
    <mergeCell ref="A22:G24"/>
    <mergeCell ref="B26:G27"/>
    <mergeCell ref="B28:G30"/>
    <mergeCell ref="B31:G32"/>
    <mergeCell ref="B33:G34"/>
  </mergeCells>
  <pageMargins left="0.7" right="0.7" top="0.75" bottom="0.75" header="0.3" footer="0.3"/>
  <pageSetup paperSize="9" scale="8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Vinnublöð</vt:lpstr>
      </vt:variant>
      <vt:variant>
        <vt:i4>18</vt:i4>
      </vt:variant>
      <vt:variant>
        <vt:lpstr>Nefnd svið</vt:lpstr>
      </vt:variant>
      <vt:variant>
        <vt:i4>10</vt:i4>
      </vt:variant>
    </vt:vector>
  </HeadingPairs>
  <TitlesOfParts>
    <vt:vector size="28" baseType="lpstr">
      <vt:lpstr>Yfirlitsblað</vt:lpstr>
      <vt:lpstr>V1 krossar 12%</vt:lpstr>
      <vt:lpstr>V2 Skattframtal 6%</vt:lpstr>
      <vt:lpstr>V3 tekjuskattsst 15%</vt:lpstr>
      <vt:lpstr>V4A VSK 7%</vt:lpstr>
      <vt:lpstr>V4B VSK 3%</vt:lpstr>
      <vt:lpstr>V5 Laun 9%</vt:lpstr>
      <vt:lpstr>V6 kennitölur 5% </vt:lpstr>
      <vt:lpstr>V7A Afstemming 4%</vt:lpstr>
      <vt:lpstr>V7B Afstemming 3%</vt:lpstr>
      <vt:lpstr>V8 Excel 9%</vt:lpstr>
      <vt:lpstr>V8 hreyfingar</vt:lpstr>
      <vt:lpstr>V8 Svarblað A)</vt:lpstr>
      <vt:lpstr>V8 Svarblað B)</vt:lpstr>
      <vt:lpstr>V8 Svarblað C)</vt:lpstr>
      <vt:lpstr>V 9 a) prófj. og lokaf 27%</vt:lpstr>
      <vt:lpstr>V 9 b) Ársreikningur</vt:lpstr>
      <vt:lpstr>V9 Fyrningarskýrsla</vt:lpstr>
      <vt:lpstr>'V9 Fyrningarskýrsla'!MAN</vt:lpstr>
      <vt:lpstr>'V 9 b) Ársreikningur'!Print_Area</vt:lpstr>
      <vt:lpstr>'V1 krossar 12%'!Print_Area</vt:lpstr>
      <vt:lpstr>'V2 Skattframtal 6%'!Print_Area</vt:lpstr>
      <vt:lpstr>'V6 kennitölur 5% '!Print_Area</vt:lpstr>
      <vt:lpstr>'V7A Afstemming 4%'!Print_Area</vt:lpstr>
      <vt:lpstr>'V8 Excel 9%'!Print_Area</vt:lpstr>
      <vt:lpstr>'V8 Svarblað A)'!Print_Area</vt:lpstr>
      <vt:lpstr>'V8 Svarblað B)'!Print_Area</vt:lpstr>
      <vt:lpstr>'V9 Fyrningarskýrsla'!Print_Area</vt:lpstr>
    </vt:vector>
  </TitlesOfParts>
  <Company>PricewaterhouseCoopers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Bryndís Björk</dc:creator>
  <cp:lastModifiedBy>Guðný Steina Pétursdóttir</cp:lastModifiedBy>
  <cp:lastPrinted>2017-11-28T13:22:42Z</cp:lastPrinted>
  <dcterms:created xsi:type="dcterms:W3CDTF">2016-11-12T10:18:34Z</dcterms:created>
  <dcterms:modified xsi:type="dcterms:W3CDTF">2019-11-25T13:18:35Z</dcterms:modified>
</cp:coreProperties>
</file>