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ernmentis-my.sharepoint.com/personal/hafthor_reinhardsson_utn_is/Documents/2020/"/>
    </mc:Choice>
  </mc:AlternateContent>
  <xr:revisionPtr revIDLastSave="0" documentId="8_{25B1A179-A085-467E-B5C4-A5DBB867E97B}" xr6:coauthVersionLast="45" xr6:coauthVersionMax="45" xr10:uidLastSave="{00000000-0000-0000-0000-000000000000}"/>
  <bookViews>
    <workbookView xWindow="2340" yWindow="1905" windowWidth="21600" windowHeight="11325" xr2:uid="{E28CC09E-F28E-47BD-8160-57E3C9CD7D6B}"/>
  </bookViews>
  <sheets>
    <sheet name="ODAtafla 2006-2019" sheetId="1" r:id="rId1"/>
    <sheet name="Samantekt 2006-201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6" i="1" l="1"/>
  <c r="N13" i="1"/>
  <c r="N20" i="1" s="1"/>
  <c r="N47" i="1"/>
  <c r="N50" i="1" s="1"/>
  <c r="N31" i="1"/>
  <c r="N42" i="1"/>
  <c r="N46" i="1"/>
  <c r="N177" i="1"/>
  <c r="N67" i="1"/>
  <c r="N77" i="1"/>
  <c r="N93" i="1"/>
  <c r="N111" i="1"/>
  <c r="N118" i="1"/>
  <c r="N132" i="1"/>
  <c r="N137" i="1"/>
  <c r="N146" i="1"/>
  <c r="N153" i="1"/>
  <c r="N163" i="1"/>
  <c r="N176" i="1"/>
  <c r="N188" i="1"/>
  <c r="N197" i="1"/>
  <c r="N203" i="1"/>
  <c r="N220" i="1"/>
  <c r="N246" i="1" s="1"/>
  <c r="N245" i="1"/>
  <c r="N261" i="1"/>
  <c r="N269" i="1"/>
  <c r="N290" i="1"/>
  <c r="N301" i="1"/>
  <c r="N316" i="1"/>
  <c r="N332" i="1"/>
  <c r="N204" i="1" l="1"/>
  <c r="N291" i="1"/>
  <c r="N63" i="2"/>
  <c r="O330" i="1"/>
  <c r="O15" i="1"/>
  <c r="M269" i="1"/>
  <c r="O289" i="1" l="1"/>
  <c r="O290" i="1" s="1"/>
  <c r="O212" i="1"/>
  <c r="O220" i="1" s="1"/>
  <c r="O233" i="1"/>
  <c r="O245" i="1"/>
  <c r="O93" i="1" l="1"/>
  <c r="O111" i="1"/>
  <c r="O118" i="1"/>
  <c r="O123" i="1"/>
  <c r="O132" i="1"/>
  <c r="O146" i="1"/>
  <c r="O163" i="1"/>
  <c r="O47" i="1"/>
  <c r="G290" i="1" l="1"/>
  <c r="H290" i="1"/>
  <c r="I290" i="1"/>
  <c r="L290" i="1"/>
  <c r="M290" i="1"/>
  <c r="O332" i="1"/>
  <c r="O261" i="1"/>
  <c r="O165" i="1"/>
  <c r="O176" i="1" s="1"/>
  <c r="O151" i="1"/>
  <c r="O69" i="1"/>
  <c r="O77" i="1" s="1"/>
  <c r="O65" i="1"/>
  <c r="O67" i="1" s="1"/>
  <c r="O197" i="1" l="1"/>
  <c r="O324" i="1"/>
  <c r="O269" i="1"/>
  <c r="B332" i="1"/>
  <c r="C332" i="1"/>
  <c r="D332" i="1"/>
  <c r="E332" i="1"/>
  <c r="G332" i="1"/>
  <c r="L332" i="1"/>
  <c r="O188" i="1"/>
  <c r="O148" i="1" l="1"/>
  <c r="O153" i="1" s="1"/>
  <c r="O136" i="1"/>
  <c r="O137" i="1" s="1"/>
  <c r="O42" i="1" l="1"/>
  <c r="O19" i="1"/>
  <c r="O13" i="1"/>
  <c r="O20" i="1" l="1"/>
  <c r="O7" i="2" s="1"/>
  <c r="O31" i="1"/>
  <c r="O10" i="2" s="1"/>
  <c r="O11" i="2"/>
  <c r="O46" i="1"/>
  <c r="O12" i="2" s="1"/>
  <c r="O13" i="2"/>
  <c r="O25" i="2"/>
  <c r="O26" i="2"/>
  <c r="O27" i="2"/>
  <c r="O28" i="2"/>
  <c r="O29" i="2"/>
  <c r="O30" i="2"/>
  <c r="O31" i="2"/>
  <c r="O159" i="1"/>
  <c r="O37" i="2"/>
  <c r="O38" i="2"/>
  <c r="O203" i="1"/>
  <c r="O39" i="2" s="1"/>
  <c r="O42" i="2"/>
  <c r="O228" i="1"/>
  <c r="O44" i="2"/>
  <c r="O45" i="2"/>
  <c r="O51" i="2"/>
  <c r="O265" i="1"/>
  <c r="O52" i="2" s="1"/>
  <c r="O53" i="2"/>
  <c r="O273" i="1"/>
  <c r="O54" i="2" s="1"/>
  <c r="O277" i="1"/>
  <c r="O55" i="2" s="1"/>
  <c r="O281" i="1"/>
  <c r="O301" i="1"/>
  <c r="O316" i="1"/>
  <c r="O62" i="2"/>
  <c r="O14" i="2"/>
  <c r="O21" i="2"/>
  <c r="O23" i="2"/>
  <c r="O32" i="2" l="1"/>
  <c r="O177" i="1"/>
  <c r="O326" i="1"/>
  <c r="O334" i="1" s="1"/>
  <c r="O56" i="2"/>
  <c r="O291" i="1"/>
  <c r="O60" i="2"/>
  <c r="O43" i="2"/>
  <c r="O246" i="1"/>
  <c r="O57" i="2"/>
  <c r="O59" i="2"/>
  <c r="O33" i="2"/>
  <c r="O24" i="2"/>
  <c r="O22" i="2"/>
  <c r="O6" i="2"/>
  <c r="O50" i="1"/>
  <c r="O52" i="1" s="1"/>
  <c r="O34" i="2"/>
  <c r="O204" i="1"/>
  <c r="O40" i="2" s="1"/>
  <c r="O61" i="2"/>
  <c r="O5" i="2"/>
  <c r="B301" i="1"/>
  <c r="C301" i="1"/>
  <c r="D301" i="1"/>
  <c r="E301" i="1"/>
  <c r="F301" i="1"/>
  <c r="G301" i="1"/>
  <c r="I301" i="1"/>
  <c r="L301" i="1"/>
  <c r="M301" i="1"/>
  <c r="B93" i="1"/>
  <c r="C93" i="1"/>
  <c r="D93" i="1"/>
  <c r="E93" i="1"/>
  <c r="F93" i="1"/>
  <c r="G93" i="1"/>
  <c r="I93" i="1"/>
  <c r="K93" i="1"/>
  <c r="M93" i="1"/>
  <c r="B316" i="1"/>
  <c r="C316" i="1"/>
  <c r="D316" i="1"/>
  <c r="E316" i="1"/>
  <c r="F316" i="1"/>
  <c r="G316" i="1"/>
  <c r="L316" i="1"/>
  <c r="M316" i="1"/>
  <c r="B111" i="1"/>
  <c r="C111" i="1"/>
  <c r="D111" i="1"/>
  <c r="E111" i="1"/>
  <c r="G111" i="1"/>
  <c r="I111" i="1"/>
  <c r="L111" i="1"/>
  <c r="M111" i="1"/>
  <c r="O15" i="2" l="1"/>
  <c r="O247" i="1"/>
  <c r="O46" i="2"/>
  <c r="O35" i="2"/>
  <c r="O17" i="2"/>
  <c r="O64" i="2"/>
  <c r="O63" i="2"/>
  <c r="B21" i="2"/>
  <c r="C21" i="2"/>
  <c r="E21" i="2"/>
  <c r="F21" i="2"/>
  <c r="G21" i="2"/>
  <c r="H21" i="2"/>
  <c r="I21" i="2"/>
  <c r="J21" i="2"/>
  <c r="L21" i="2"/>
  <c r="M21" i="2"/>
  <c r="N21" i="2"/>
  <c r="B14" i="2"/>
  <c r="C14" i="2"/>
  <c r="D14" i="2"/>
  <c r="F14" i="2"/>
  <c r="G14" i="2"/>
  <c r="H14" i="2"/>
  <c r="I14" i="2"/>
  <c r="J14" i="2"/>
  <c r="L14" i="2"/>
  <c r="M14" i="2"/>
  <c r="N14" i="2"/>
  <c r="B13" i="2"/>
  <c r="C13" i="2"/>
  <c r="D13" i="2"/>
  <c r="B13" i="1"/>
  <c r="B5" i="2" s="1"/>
  <c r="O47" i="2" l="1"/>
  <c r="O337" i="1"/>
  <c r="O66" i="2" s="1"/>
  <c r="C62" i="2"/>
  <c r="D62" i="2"/>
  <c r="E62" i="2"/>
  <c r="G62" i="2"/>
  <c r="L62" i="2"/>
  <c r="N62" i="2"/>
  <c r="B62" i="2"/>
  <c r="C324" i="1"/>
  <c r="D324" i="1"/>
  <c r="E324" i="1"/>
  <c r="F324" i="1"/>
  <c r="G324" i="1"/>
  <c r="H324" i="1"/>
  <c r="H61" i="2" s="1"/>
  <c r="I324" i="1"/>
  <c r="I61" i="2" s="1"/>
  <c r="J324" i="1"/>
  <c r="J61" i="2" s="1"/>
  <c r="K324" i="1"/>
  <c r="K61" i="2" s="1"/>
  <c r="L324" i="1"/>
  <c r="L326" i="1" s="1"/>
  <c r="M324" i="1"/>
  <c r="M326" i="1" s="1"/>
  <c r="N324" i="1"/>
  <c r="B324" i="1"/>
  <c r="B326" i="1" s="1"/>
  <c r="B60" i="2"/>
  <c r="C60" i="2"/>
  <c r="D60" i="2"/>
  <c r="E60" i="2"/>
  <c r="F60" i="2"/>
  <c r="G60" i="2"/>
  <c r="L60" i="2"/>
  <c r="M60" i="2"/>
  <c r="N60" i="2"/>
  <c r="C59" i="2"/>
  <c r="D59" i="2"/>
  <c r="E59" i="2"/>
  <c r="F59" i="2"/>
  <c r="G59" i="2"/>
  <c r="I59" i="2"/>
  <c r="L59" i="2"/>
  <c r="M59" i="2"/>
  <c r="N59" i="2"/>
  <c r="C281" i="1"/>
  <c r="C56" i="2" s="1"/>
  <c r="D281" i="1"/>
  <c r="D56" i="2" s="1"/>
  <c r="E281" i="1"/>
  <c r="E56" i="2" s="1"/>
  <c r="F281" i="1"/>
  <c r="F56" i="2" s="1"/>
  <c r="G281" i="1"/>
  <c r="H281" i="1"/>
  <c r="I281" i="1"/>
  <c r="J281" i="1"/>
  <c r="J56" i="2" s="1"/>
  <c r="K281" i="1"/>
  <c r="K56" i="2" s="1"/>
  <c r="L281" i="1"/>
  <c r="M281" i="1"/>
  <c r="N281" i="1"/>
  <c r="C277" i="1"/>
  <c r="C55" i="2" s="1"/>
  <c r="D277" i="1"/>
  <c r="D55" i="2" s="1"/>
  <c r="E277" i="1"/>
  <c r="E55" i="2" s="1"/>
  <c r="F277" i="1"/>
  <c r="F55" i="2" s="1"/>
  <c r="G277" i="1"/>
  <c r="G55" i="2" s="1"/>
  <c r="H277" i="1"/>
  <c r="H55" i="2" s="1"/>
  <c r="I277" i="1"/>
  <c r="I55" i="2" s="1"/>
  <c r="J277" i="1"/>
  <c r="J55" i="2" s="1"/>
  <c r="K277" i="1"/>
  <c r="K55" i="2" s="1"/>
  <c r="L277" i="1"/>
  <c r="L55" i="2" s="1"/>
  <c r="M277" i="1"/>
  <c r="M55" i="2" s="1"/>
  <c r="N277" i="1"/>
  <c r="N55" i="2" s="1"/>
  <c r="C273" i="1"/>
  <c r="C54" i="2" s="1"/>
  <c r="D273" i="1"/>
  <c r="D54" i="2" s="1"/>
  <c r="E273" i="1"/>
  <c r="E54" i="2" s="1"/>
  <c r="G273" i="1"/>
  <c r="G54" i="2" s="1"/>
  <c r="I273" i="1"/>
  <c r="I54" i="2" s="1"/>
  <c r="L273" i="1"/>
  <c r="L54" i="2" s="1"/>
  <c r="N273" i="1"/>
  <c r="N54" i="2" s="1"/>
  <c r="C269" i="1"/>
  <c r="C53" i="2" s="1"/>
  <c r="D269" i="1"/>
  <c r="D53" i="2" s="1"/>
  <c r="E269" i="1"/>
  <c r="E53" i="2" s="1"/>
  <c r="F269" i="1"/>
  <c r="F53" i="2" s="1"/>
  <c r="G269" i="1"/>
  <c r="G53" i="2" s="1"/>
  <c r="H269" i="1"/>
  <c r="H53" i="2" s="1"/>
  <c r="I269" i="1"/>
  <c r="I53" i="2" s="1"/>
  <c r="J269" i="1"/>
  <c r="J53" i="2" s="1"/>
  <c r="K269" i="1"/>
  <c r="K53" i="2" s="1"/>
  <c r="L269" i="1"/>
  <c r="L53" i="2" s="1"/>
  <c r="M53" i="2"/>
  <c r="N53" i="2"/>
  <c r="C265" i="1"/>
  <c r="C52" i="2" s="1"/>
  <c r="D265" i="1"/>
  <c r="D52" i="2" s="1"/>
  <c r="E265" i="1"/>
  <c r="E52" i="2" s="1"/>
  <c r="F265" i="1"/>
  <c r="F52" i="2" s="1"/>
  <c r="G265" i="1"/>
  <c r="G52" i="2" s="1"/>
  <c r="H265" i="1"/>
  <c r="H52" i="2" s="1"/>
  <c r="I265" i="1"/>
  <c r="I52" i="2" s="1"/>
  <c r="J265" i="1"/>
  <c r="J52" i="2" s="1"/>
  <c r="K265" i="1"/>
  <c r="K52" i="2" s="1"/>
  <c r="L265" i="1"/>
  <c r="L52" i="2" s="1"/>
  <c r="M265" i="1"/>
  <c r="M52" i="2" s="1"/>
  <c r="N265" i="1"/>
  <c r="N52" i="2" s="1"/>
  <c r="C261" i="1"/>
  <c r="C51" i="2" s="1"/>
  <c r="D261" i="1"/>
  <c r="D51" i="2" s="1"/>
  <c r="E261" i="1"/>
  <c r="E51" i="2" s="1"/>
  <c r="F261" i="1"/>
  <c r="F51" i="2" s="1"/>
  <c r="G261" i="1"/>
  <c r="G51" i="2" s="1"/>
  <c r="I261" i="1"/>
  <c r="I51" i="2" s="1"/>
  <c r="J261" i="1"/>
  <c r="J51" i="2" s="1"/>
  <c r="L261" i="1"/>
  <c r="L51" i="2" s="1"/>
  <c r="M261" i="1"/>
  <c r="M51" i="2" s="1"/>
  <c r="N51" i="2"/>
  <c r="B261" i="1"/>
  <c r="B51" i="2" s="1"/>
  <c r="C245" i="1"/>
  <c r="C45" i="2" s="1"/>
  <c r="D245" i="1"/>
  <c r="D45" i="2" s="1"/>
  <c r="E245" i="1"/>
  <c r="E45" i="2" s="1"/>
  <c r="F245" i="1"/>
  <c r="F45" i="2" s="1"/>
  <c r="G245" i="1"/>
  <c r="G45" i="2" s="1"/>
  <c r="I245" i="1"/>
  <c r="I45" i="2" s="1"/>
  <c r="J245" i="1"/>
  <c r="J45" i="2" s="1"/>
  <c r="K245" i="1"/>
  <c r="K45" i="2" s="1"/>
  <c r="L245" i="1"/>
  <c r="L45" i="2" s="1"/>
  <c r="M245" i="1"/>
  <c r="M45" i="2" s="1"/>
  <c r="N45" i="2"/>
  <c r="B245" i="1"/>
  <c r="B45" i="2" s="1"/>
  <c r="C233" i="1"/>
  <c r="C44" i="2" s="1"/>
  <c r="D233" i="1"/>
  <c r="D44" i="2" s="1"/>
  <c r="E233" i="1"/>
  <c r="E44" i="2" s="1"/>
  <c r="F233" i="1"/>
  <c r="F44" i="2" s="1"/>
  <c r="G233" i="1"/>
  <c r="G44" i="2" s="1"/>
  <c r="H233" i="1"/>
  <c r="H44" i="2" s="1"/>
  <c r="I233" i="1"/>
  <c r="I44" i="2" s="1"/>
  <c r="J233" i="1"/>
  <c r="J44" i="2" s="1"/>
  <c r="L233" i="1"/>
  <c r="L44" i="2" s="1"/>
  <c r="M233" i="1"/>
  <c r="M44" i="2" s="1"/>
  <c r="N233" i="1"/>
  <c r="N44" i="2" s="1"/>
  <c r="B233" i="1"/>
  <c r="B44" i="2" s="1"/>
  <c r="C228" i="1"/>
  <c r="C43" i="2" s="1"/>
  <c r="D228" i="1"/>
  <c r="D43" i="2" s="1"/>
  <c r="E228" i="1"/>
  <c r="E43" i="2" s="1"/>
  <c r="F228" i="1"/>
  <c r="F43" i="2" s="1"/>
  <c r="G228" i="1"/>
  <c r="G43" i="2" s="1"/>
  <c r="H228" i="1"/>
  <c r="H43" i="2" s="1"/>
  <c r="I228" i="1"/>
  <c r="I43" i="2" s="1"/>
  <c r="J228" i="1"/>
  <c r="J43" i="2" s="1"/>
  <c r="K228" i="1"/>
  <c r="K43" i="2" s="1"/>
  <c r="L228" i="1"/>
  <c r="L43" i="2" s="1"/>
  <c r="M228" i="1"/>
  <c r="M43" i="2" s="1"/>
  <c r="N228" i="1"/>
  <c r="N43" i="2" s="1"/>
  <c r="C220" i="1"/>
  <c r="C42" i="2" s="1"/>
  <c r="D220" i="1"/>
  <c r="D42" i="2" s="1"/>
  <c r="E220" i="1"/>
  <c r="E42" i="2" s="1"/>
  <c r="F220" i="1"/>
  <c r="F42" i="2" s="1"/>
  <c r="G220" i="1"/>
  <c r="G42" i="2" s="1"/>
  <c r="I220" i="1"/>
  <c r="I42" i="2" s="1"/>
  <c r="J220" i="1"/>
  <c r="J42" i="2" s="1"/>
  <c r="L220" i="1"/>
  <c r="L42" i="2" s="1"/>
  <c r="M220" i="1"/>
  <c r="M42" i="2" s="1"/>
  <c r="N42" i="2"/>
  <c r="B220" i="1"/>
  <c r="B42" i="2" s="1"/>
  <c r="C203" i="1"/>
  <c r="C39" i="2" s="1"/>
  <c r="D203" i="1"/>
  <c r="D39" i="2" s="1"/>
  <c r="E203" i="1"/>
  <c r="E39" i="2" s="1"/>
  <c r="F203" i="1"/>
  <c r="F39" i="2" s="1"/>
  <c r="G203" i="1"/>
  <c r="G39" i="2" s="1"/>
  <c r="I203" i="1"/>
  <c r="I39" i="2" s="1"/>
  <c r="J203" i="1"/>
  <c r="J39" i="2" s="1"/>
  <c r="K203" i="1"/>
  <c r="K39" i="2" s="1"/>
  <c r="L203" i="1"/>
  <c r="L39" i="2" s="1"/>
  <c r="M203" i="1"/>
  <c r="M39" i="2" s="1"/>
  <c r="N39" i="2"/>
  <c r="C197" i="1"/>
  <c r="C38" i="2" s="1"/>
  <c r="D197" i="1"/>
  <c r="D38" i="2" s="1"/>
  <c r="E197" i="1"/>
  <c r="E38" i="2" s="1"/>
  <c r="G197" i="1"/>
  <c r="G38" i="2" s="1"/>
  <c r="I197" i="1"/>
  <c r="I38" i="2" s="1"/>
  <c r="J197" i="1"/>
  <c r="J38" i="2" s="1"/>
  <c r="K197" i="1"/>
  <c r="K38" i="2" s="1"/>
  <c r="L197" i="1"/>
  <c r="L38" i="2" s="1"/>
  <c r="M197" i="1"/>
  <c r="M38" i="2" s="1"/>
  <c r="N38" i="2"/>
  <c r="B197" i="1"/>
  <c r="B38" i="2" s="1"/>
  <c r="C188" i="1"/>
  <c r="C37" i="2" s="1"/>
  <c r="D188" i="1"/>
  <c r="D37" i="2" s="1"/>
  <c r="E188" i="1"/>
  <c r="E37" i="2" s="1"/>
  <c r="F188" i="1"/>
  <c r="F37" i="2" s="1"/>
  <c r="G188" i="1"/>
  <c r="G37" i="2" s="1"/>
  <c r="H188" i="1"/>
  <c r="H37" i="2" s="1"/>
  <c r="I188" i="1"/>
  <c r="I37" i="2" s="1"/>
  <c r="J188" i="1"/>
  <c r="J37" i="2" s="1"/>
  <c r="L188" i="1"/>
  <c r="L37" i="2" s="1"/>
  <c r="M188" i="1"/>
  <c r="M37" i="2" s="1"/>
  <c r="N37" i="2"/>
  <c r="D176" i="1"/>
  <c r="D34" i="2" s="1"/>
  <c r="E176" i="1"/>
  <c r="E34" i="2" s="1"/>
  <c r="F176" i="1"/>
  <c r="F34" i="2" s="1"/>
  <c r="G176" i="1"/>
  <c r="G34" i="2" s="1"/>
  <c r="H176" i="1"/>
  <c r="H34" i="2" s="1"/>
  <c r="I176" i="1"/>
  <c r="I34" i="2" s="1"/>
  <c r="J176" i="1"/>
  <c r="J34" i="2" s="1"/>
  <c r="L176" i="1"/>
  <c r="L34" i="2" s="1"/>
  <c r="M176" i="1"/>
  <c r="M34" i="2" s="1"/>
  <c r="N34" i="2"/>
  <c r="C163" i="1"/>
  <c r="C33" i="2" s="1"/>
  <c r="D163" i="1"/>
  <c r="D33" i="2" s="1"/>
  <c r="E163" i="1"/>
  <c r="E33" i="2" s="1"/>
  <c r="F163" i="1"/>
  <c r="F33" i="2" s="1"/>
  <c r="G163" i="1"/>
  <c r="G33" i="2" s="1"/>
  <c r="H163" i="1"/>
  <c r="H33" i="2" s="1"/>
  <c r="I163" i="1"/>
  <c r="I33" i="2" s="1"/>
  <c r="J163" i="1"/>
  <c r="J33" i="2" s="1"/>
  <c r="L163" i="1"/>
  <c r="L33" i="2" s="1"/>
  <c r="M163" i="1"/>
  <c r="M33" i="2" s="1"/>
  <c r="N33" i="2"/>
  <c r="C159" i="1"/>
  <c r="C32" i="2" s="1"/>
  <c r="D159" i="1"/>
  <c r="D32" i="2" s="1"/>
  <c r="E159" i="1"/>
  <c r="E32" i="2" s="1"/>
  <c r="F159" i="1"/>
  <c r="F32" i="2" s="1"/>
  <c r="G159" i="1"/>
  <c r="G32" i="2" s="1"/>
  <c r="H159" i="1"/>
  <c r="H32" i="2" s="1"/>
  <c r="I159" i="1"/>
  <c r="I32" i="2" s="1"/>
  <c r="J159" i="1"/>
  <c r="J32" i="2" s="1"/>
  <c r="L159" i="1"/>
  <c r="L32" i="2" s="1"/>
  <c r="M159" i="1"/>
  <c r="M32" i="2" s="1"/>
  <c r="N159" i="1"/>
  <c r="N32" i="2" s="1"/>
  <c r="C153" i="1"/>
  <c r="C31" i="2" s="1"/>
  <c r="D153" i="1"/>
  <c r="D31" i="2" s="1"/>
  <c r="E153" i="1"/>
  <c r="E31" i="2" s="1"/>
  <c r="G153" i="1"/>
  <c r="G31" i="2" s="1"/>
  <c r="N31" i="2"/>
  <c r="C146" i="1"/>
  <c r="C30" i="2" s="1"/>
  <c r="D146" i="1"/>
  <c r="D30" i="2" s="1"/>
  <c r="E146" i="1"/>
  <c r="E30" i="2" s="1"/>
  <c r="F146" i="1"/>
  <c r="F30" i="2" s="1"/>
  <c r="G146" i="1"/>
  <c r="G30" i="2" s="1"/>
  <c r="H146" i="1"/>
  <c r="H30" i="2" s="1"/>
  <c r="I146" i="1"/>
  <c r="I30" i="2" s="1"/>
  <c r="J146" i="1"/>
  <c r="J30" i="2" s="1"/>
  <c r="K146" i="1"/>
  <c r="K30" i="2" s="1"/>
  <c r="M146" i="1"/>
  <c r="M30" i="2" s="1"/>
  <c r="N30" i="2"/>
  <c r="C137" i="1"/>
  <c r="C29" i="2" s="1"/>
  <c r="D137" i="1"/>
  <c r="D29" i="2" s="1"/>
  <c r="E137" i="1"/>
  <c r="E29" i="2" s="1"/>
  <c r="F137" i="1"/>
  <c r="F29" i="2" s="1"/>
  <c r="H137" i="1"/>
  <c r="H29" i="2" s="1"/>
  <c r="I137" i="1"/>
  <c r="I29" i="2" s="1"/>
  <c r="J137" i="1"/>
  <c r="J29" i="2" s="1"/>
  <c r="K137" i="1"/>
  <c r="K29" i="2" s="1"/>
  <c r="L137" i="1"/>
  <c r="L29" i="2" s="1"/>
  <c r="M137" i="1"/>
  <c r="M29" i="2" s="1"/>
  <c r="N29" i="2"/>
  <c r="B137" i="1"/>
  <c r="B29" i="2" s="1"/>
  <c r="C132" i="1"/>
  <c r="C28" i="2" s="1"/>
  <c r="D132" i="1"/>
  <c r="D28" i="2" s="1"/>
  <c r="E132" i="1"/>
  <c r="E28" i="2" s="1"/>
  <c r="G132" i="1"/>
  <c r="G28" i="2" s="1"/>
  <c r="H132" i="1"/>
  <c r="H28" i="2" s="1"/>
  <c r="I132" i="1"/>
  <c r="I28" i="2" s="1"/>
  <c r="J132" i="1"/>
  <c r="J28" i="2" s="1"/>
  <c r="K132" i="1"/>
  <c r="K28" i="2" s="1"/>
  <c r="M132" i="1"/>
  <c r="M28" i="2" s="1"/>
  <c r="N28" i="2"/>
  <c r="B132" i="1"/>
  <c r="B28" i="2" s="1"/>
  <c r="C123" i="1"/>
  <c r="C27" i="2" s="1"/>
  <c r="D123" i="1"/>
  <c r="D27" i="2" s="1"/>
  <c r="E123" i="1"/>
  <c r="E27" i="2" s="1"/>
  <c r="F123" i="1"/>
  <c r="F27" i="2" s="1"/>
  <c r="G123" i="1"/>
  <c r="G27" i="2" s="1"/>
  <c r="H123" i="1"/>
  <c r="H27" i="2" s="1"/>
  <c r="I123" i="1"/>
  <c r="I27" i="2" s="1"/>
  <c r="J123" i="1"/>
  <c r="J27" i="2" s="1"/>
  <c r="L123" i="1"/>
  <c r="L27" i="2" s="1"/>
  <c r="M123" i="1"/>
  <c r="M27" i="2" s="1"/>
  <c r="N123" i="1"/>
  <c r="N27" i="2" s="1"/>
  <c r="C118" i="1"/>
  <c r="C26" i="2" s="1"/>
  <c r="D118" i="1"/>
  <c r="D26" i="2" s="1"/>
  <c r="E118" i="1"/>
  <c r="E26" i="2" s="1"/>
  <c r="G118" i="1"/>
  <c r="G26" i="2" s="1"/>
  <c r="I118" i="1"/>
  <c r="I26" i="2" s="1"/>
  <c r="K118" i="1"/>
  <c r="K26" i="2" s="1"/>
  <c r="M118" i="1"/>
  <c r="M26" i="2" s="1"/>
  <c r="N26" i="2"/>
  <c r="C46" i="1"/>
  <c r="C12" i="2" s="1"/>
  <c r="D46" i="1"/>
  <c r="D12" i="2" s="1"/>
  <c r="E46" i="1"/>
  <c r="E12" i="2" s="1"/>
  <c r="F46" i="1"/>
  <c r="F12" i="2" s="1"/>
  <c r="J46" i="1"/>
  <c r="J12" i="2" s="1"/>
  <c r="K46" i="1"/>
  <c r="K12" i="2" s="1"/>
  <c r="M46" i="1"/>
  <c r="M12" i="2" s="1"/>
  <c r="N12" i="2"/>
  <c r="C42" i="1"/>
  <c r="C11" i="2" s="1"/>
  <c r="D42" i="1"/>
  <c r="D11" i="2" s="1"/>
  <c r="E42" i="1"/>
  <c r="E11" i="2" s="1"/>
  <c r="F42" i="1"/>
  <c r="F11" i="2" s="1"/>
  <c r="G42" i="1"/>
  <c r="G11" i="2" s="1"/>
  <c r="I42" i="1"/>
  <c r="I11" i="2" s="1"/>
  <c r="L42" i="1"/>
  <c r="L11" i="2" s="1"/>
  <c r="M42" i="1"/>
  <c r="M11" i="2" s="1"/>
  <c r="N11" i="2"/>
  <c r="B42" i="1"/>
  <c r="B11" i="2" s="1"/>
  <c r="B31" i="1"/>
  <c r="B10" i="2" s="1"/>
  <c r="I56" i="2" l="1"/>
  <c r="I291" i="1"/>
  <c r="H56" i="2"/>
  <c r="G56" i="2"/>
  <c r="G291" i="1"/>
  <c r="N56" i="2"/>
  <c r="M56" i="2"/>
  <c r="L56" i="2"/>
  <c r="L291" i="1"/>
  <c r="O339" i="1"/>
  <c r="O67" i="2" s="1"/>
  <c r="F61" i="2"/>
  <c r="F326" i="1"/>
  <c r="E61" i="2"/>
  <c r="E326" i="1"/>
  <c r="C61" i="2"/>
  <c r="C326" i="1"/>
  <c r="G61" i="2"/>
  <c r="G326" i="1"/>
  <c r="D61" i="2"/>
  <c r="D326" i="1"/>
  <c r="N61" i="2"/>
  <c r="M61" i="2"/>
  <c r="L61" i="2"/>
  <c r="B61" i="2"/>
  <c r="L19" i="1"/>
  <c r="L6" i="2" s="1"/>
  <c r="M19" i="1"/>
  <c r="M6" i="2" s="1"/>
  <c r="N19" i="1"/>
  <c r="N6" i="2" s="1"/>
  <c r="M331" i="1" l="1"/>
  <c r="M332" i="1" s="1"/>
  <c r="K331" i="1"/>
  <c r="J331" i="1"/>
  <c r="I331" i="1"/>
  <c r="I332" i="1" s="1"/>
  <c r="K310" i="1"/>
  <c r="J310" i="1"/>
  <c r="H310" i="1"/>
  <c r="K309" i="1"/>
  <c r="J309" i="1"/>
  <c r="I309" i="1"/>
  <c r="I316" i="1" s="1"/>
  <c r="I326" i="1" s="1"/>
  <c r="H309" i="1"/>
  <c r="K298" i="1"/>
  <c r="J298" i="1"/>
  <c r="H298" i="1"/>
  <c r="K330" i="1"/>
  <c r="K332" i="1" s="1"/>
  <c r="J330" i="1"/>
  <c r="J332" i="1" s="1"/>
  <c r="H330" i="1"/>
  <c r="H332" i="1" s="1"/>
  <c r="H62" i="2" s="1"/>
  <c r="F330" i="1"/>
  <c r="F332" i="1" s="1"/>
  <c r="F62" i="2" s="1"/>
  <c r="K289" i="1"/>
  <c r="J289" i="1"/>
  <c r="J290" i="1" s="1"/>
  <c r="K283" i="1"/>
  <c r="K290" i="1" s="1"/>
  <c r="B281" i="1"/>
  <c r="B56" i="2" s="1"/>
  <c r="B277" i="1"/>
  <c r="B55" i="2" s="1"/>
  <c r="B273" i="1"/>
  <c r="B54" i="2" s="1"/>
  <c r="M271" i="1"/>
  <c r="M273" i="1" s="1"/>
  <c r="M291" i="1" s="1"/>
  <c r="K271" i="1"/>
  <c r="K273" i="1" s="1"/>
  <c r="K54" i="2" s="1"/>
  <c r="J271" i="1"/>
  <c r="J273" i="1" s="1"/>
  <c r="J54" i="2" s="1"/>
  <c r="H271" i="1"/>
  <c r="H273" i="1" s="1"/>
  <c r="F271" i="1"/>
  <c r="F273" i="1" s="1"/>
  <c r="F54" i="2" s="1"/>
  <c r="B269" i="1"/>
  <c r="B53" i="2" s="1"/>
  <c r="B265" i="1"/>
  <c r="B52" i="2" s="1"/>
  <c r="K255" i="1"/>
  <c r="H255" i="1"/>
  <c r="H261" i="1" s="1"/>
  <c r="H51" i="2" s="1"/>
  <c r="K254" i="1"/>
  <c r="H239" i="1"/>
  <c r="H235" i="1"/>
  <c r="K231" i="1"/>
  <c r="K230" i="1"/>
  <c r="B228" i="1"/>
  <c r="K214" i="1"/>
  <c r="K213" i="1"/>
  <c r="H213" i="1"/>
  <c r="H220" i="1" s="1"/>
  <c r="H42" i="2" s="1"/>
  <c r="B203" i="1"/>
  <c r="B39" i="2" s="1"/>
  <c r="H201" i="1"/>
  <c r="H192" i="1"/>
  <c r="H197" i="1" s="1"/>
  <c r="H38" i="2" s="1"/>
  <c r="F192" i="1"/>
  <c r="F190" i="1"/>
  <c r="B188" i="1"/>
  <c r="B37" i="2" s="1"/>
  <c r="K183" i="1"/>
  <c r="K188" i="1" s="1"/>
  <c r="K37" i="2" s="1"/>
  <c r="K172" i="1"/>
  <c r="K176" i="1" s="1"/>
  <c r="K34" i="2" s="1"/>
  <c r="C172" i="1"/>
  <c r="C176" i="1" s="1"/>
  <c r="C34" i="2" s="1"/>
  <c r="B172" i="1"/>
  <c r="B176" i="1" s="1"/>
  <c r="B34" i="2" s="1"/>
  <c r="B163" i="1"/>
  <c r="B33" i="2" s="1"/>
  <c r="K161" i="1"/>
  <c r="K163" i="1" s="1"/>
  <c r="K33" i="2" s="1"/>
  <c r="B159" i="1"/>
  <c r="B32" i="2" s="1"/>
  <c r="K155" i="1"/>
  <c r="K159" i="1" s="1"/>
  <c r="K32" i="2" s="1"/>
  <c r="B153" i="1"/>
  <c r="B31" i="2" s="1"/>
  <c r="M151" i="1"/>
  <c r="L151" i="1"/>
  <c r="L153" i="1" s="1"/>
  <c r="L31" i="2" s="1"/>
  <c r="M148" i="1"/>
  <c r="K148" i="1"/>
  <c r="K153" i="1" s="1"/>
  <c r="K31" i="2" s="1"/>
  <c r="J148" i="1"/>
  <c r="J153" i="1" s="1"/>
  <c r="J31" i="2" s="1"/>
  <c r="I148" i="1"/>
  <c r="I153" i="1" s="1"/>
  <c r="I31" i="2" s="1"/>
  <c r="H148" i="1"/>
  <c r="H153" i="1" s="1"/>
  <c r="H31" i="2" s="1"/>
  <c r="F148" i="1"/>
  <c r="F153" i="1" s="1"/>
  <c r="F31" i="2" s="1"/>
  <c r="B146" i="1"/>
  <c r="B30" i="2" s="1"/>
  <c r="L143" i="1"/>
  <c r="L146" i="1" s="1"/>
  <c r="L30" i="2" s="1"/>
  <c r="G134" i="1"/>
  <c r="G137" i="1" s="1"/>
  <c r="G29" i="2" s="1"/>
  <c r="L125" i="1"/>
  <c r="L132" i="1" s="1"/>
  <c r="L28" i="2" s="1"/>
  <c r="F125" i="1"/>
  <c r="F132" i="1" s="1"/>
  <c r="F28" i="2" s="1"/>
  <c r="B123" i="1"/>
  <c r="B27" i="2" s="1"/>
  <c r="K120" i="1"/>
  <c r="K123" i="1" s="1"/>
  <c r="K27" i="2" s="1"/>
  <c r="B118" i="1"/>
  <c r="B26" i="2" s="1"/>
  <c r="L117" i="1"/>
  <c r="L118" i="1" s="1"/>
  <c r="L26" i="2" s="1"/>
  <c r="J116" i="1"/>
  <c r="J115" i="1"/>
  <c r="H115" i="1"/>
  <c r="H118" i="1" s="1"/>
  <c r="H26" i="2" s="1"/>
  <c r="J114" i="1"/>
  <c r="F113" i="1"/>
  <c r="F118" i="1" s="1"/>
  <c r="F26" i="2" s="1"/>
  <c r="F106" i="1"/>
  <c r="K105" i="1"/>
  <c r="K111" i="1" s="1"/>
  <c r="J104" i="1"/>
  <c r="J111" i="1" s="1"/>
  <c r="H102" i="1"/>
  <c r="H111" i="1" s="1"/>
  <c r="F95" i="1"/>
  <c r="L80" i="1"/>
  <c r="L93" i="1" s="1"/>
  <c r="J80" i="1"/>
  <c r="J93" i="1" s="1"/>
  <c r="H79" i="1"/>
  <c r="H93" i="1" s="1"/>
  <c r="N23" i="2"/>
  <c r="M77" i="1"/>
  <c r="M23" i="2" s="1"/>
  <c r="L77" i="1"/>
  <c r="L23" i="2" s="1"/>
  <c r="H77" i="1"/>
  <c r="H23" i="2" s="1"/>
  <c r="G77" i="1"/>
  <c r="G23" i="2" s="1"/>
  <c r="E77" i="1"/>
  <c r="E23" i="2" s="1"/>
  <c r="D77" i="1"/>
  <c r="D23" i="2" s="1"/>
  <c r="C77" i="1"/>
  <c r="C23" i="2" s="1"/>
  <c r="B77" i="1"/>
  <c r="B23" i="2" s="1"/>
  <c r="K74" i="1"/>
  <c r="K77" i="1" s="1"/>
  <c r="K23" i="2" s="1"/>
  <c r="J74" i="1"/>
  <c r="J77" i="1" s="1"/>
  <c r="J23" i="2" s="1"/>
  <c r="I74" i="1"/>
  <c r="I77" i="1" s="1"/>
  <c r="I23" i="2" s="1"/>
  <c r="F72" i="1"/>
  <c r="F77" i="1" s="1"/>
  <c r="F23" i="2" s="1"/>
  <c r="N22" i="2"/>
  <c r="M67" i="1"/>
  <c r="M22" i="2" s="1"/>
  <c r="L67" i="1"/>
  <c r="L22" i="2" s="1"/>
  <c r="G67" i="1"/>
  <c r="G22" i="2" s="1"/>
  <c r="E67" i="1"/>
  <c r="E22" i="2" s="1"/>
  <c r="D67" i="1"/>
  <c r="D22" i="2" s="1"/>
  <c r="C67" i="1"/>
  <c r="C22" i="2" s="1"/>
  <c r="B67" i="1"/>
  <c r="B22" i="2" s="1"/>
  <c r="J65" i="1"/>
  <c r="I65" i="1"/>
  <c r="K61" i="1"/>
  <c r="K67" i="1" s="1"/>
  <c r="K22" i="2" s="1"/>
  <c r="J61" i="1"/>
  <c r="I61" i="1"/>
  <c r="H61" i="1"/>
  <c r="H67" i="1" s="1"/>
  <c r="H22" i="2" s="1"/>
  <c r="F61" i="1"/>
  <c r="F67" i="1" s="1"/>
  <c r="F22" i="2" s="1"/>
  <c r="K56" i="1"/>
  <c r="K21" i="2" s="1"/>
  <c r="D56" i="1"/>
  <c r="D21" i="2" s="1"/>
  <c r="D50" i="1"/>
  <c r="D15" i="2" s="1"/>
  <c r="C50" i="1"/>
  <c r="C15" i="2" s="1"/>
  <c r="B50" i="1"/>
  <c r="B15" i="2" s="1"/>
  <c r="K49" i="1"/>
  <c r="K14" i="2" s="1"/>
  <c r="E49" i="1"/>
  <c r="E14" i="2" s="1"/>
  <c r="M47" i="1"/>
  <c r="F47" i="1"/>
  <c r="E47" i="1"/>
  <c r="E13" i="2" s="1"/>
  <c r="B46" i="1"/>
  <c r="B12" i="2" s="1"/>
  <c r="L44" i="1"/>
  <c r="L46" i="1" s="1"/>
  <c r="L12" i="2" s="1"/>
  <c r="I44" i="1"/>
  <c r="H44" i="1"/>
  <c r="H46" i="1" s="1"/>
  <c r="H12" i="2" s="1"/>
  <c r="G44" i="1"/>
  <c r="G46" i="1" s="1"/>
  <c r="G12" i="2" s="1"/>
  <c r="K36" i="1"/>
  <c r="K42" i="1" s="1"/>
  <c r="K11" i="2" s="1"/>
  <c r="J36" i="1"/>
  <c r="J42" i="1" s="1"/>
  <c r="J11" i="2" s="1"/>
  <c r="H34" i="1"/>
  <c r="H42" i="1" s="1"/>
  <c r="H11" i="2" s="1"/>
  <c r="N10" i="2"/>
  <c r="M31" i="1"/>
  <c r="M10" i="2" s="1"/>
  <c r="L31" i="1"/>
  <c r="L10" i="2" s="1"/>
  <c r="J31" i="1"/>
  <c r="J10" i="2" s="1"/>
  <c r="I31" i="1"/>
  <c r="I10" i="2" s="1"/>
  <c r="G31" i="1"/>
  <c r="G10" i="2" s="1"/>
  <c r="F31" i="1"/>
  <c r="F10" i="2" s="1"/>
  <c r="E31" i="1"/>
  <c r="E10" i="2" s="1"/>
  <c r="D31" i="1"/>
  <c r="D10" i="2" s="1"/>
  <c r="C31" i="1"/>
  <c r="C10" i="2" s="1"/>
  <c r="K30" i="1"/>
  <c r="K31" i="1" s="1"/>
  <c r="K10" i="2" s="1"/>
  <c r="H30" i="1"/>
  <c r="H31" i="1" s="1"/>
  <c r="H10" i="2" s="1"/>
  <c r="K15" i="1"/>
  <c r="I15" i="1"/>
  <c r="M13" i="1"/>
  <c r="L13" i="1"/>
  <c r="K13" i="1"/>
  <c r="J13" i="1"/>
  <c r="I13" i="1"/>
  <c r="H13" i="1"/>
  <c r="G13" i="1"/>
  <c r="F13" i="1"/>
  <c r="E13" i="1"/>
  <c r="D13" i="1"/>
  <c r="C13" i="1"/>
  <c r="H54" i="2" l="1"/>
  <c r="H291" i="1"/>
  <c r="J291" i="1"/>
  <c r="M54" i="2"/>
  <c r="I62" i="2"/>
  <c r="J62" i="2"/>
  <c r="K62" i="2"/>
  <c r="M62" i="2"/>
  <c r="H245" i="1"/>
  <c r="H45" i="2" s="1"/>
  <c r="F111" i="1"/>
  <c r="M153" i="1"/>
  <c r="M31" i="2" s="1"/>
  <c r="K233" i="1"/>
  <c r="K44" i="2" s="1"/>
  <c r="H301" i="1"/>
  <c r="K301" i="1"/>
  <c r="H316" i="1"/>
  <c r="H60" i="2" s="1"/>
  <c r="J301" i="1"/>
  <c r="J316" i="1"/>
  <c r="J60" i="2" s="1"/>
  <c r="K316" i="1"/>
  <c r="K60" i="2" s="1"/>
  <c r="K261" i="1"/>
  <c r="K51" i="2" s="1"/>
  <c r="I60" i="2"/>
  <c r="K220" i="1"/>
  <c r="K42" i="2" s="1"/>
  <c r="I5" i="2"/>
  <c r="M5" i="2"/>
  <c r="M20" i="1"/>
  <c r="M7" i="2" s="1"/>
  <c r="F5" i="2"/>
  <c r="J5" i="2"/>
  <c r="N5" i="2"/>
  <c r="N7" i="2"/>
  <c r="I47" i="1"/>
  <c r="I46" i="1"/>
  <c r="I12" i="2" s="1"/>
  <c r="F50" i="1"/>
  <c r="F13" i="2"/>
  <c r="H203" i="1"/>
  <c r="H39" i="2" s="1"/>
  <c r="E5" i="2"/>
  <c r="C5" i="2"/>
  <c r="G5" i="2"/>
  <c r="K5" i="2"/>
  <c r="M50" i="1"/>
  <c r="M15" i="2" s="1"/>
  <c r="M13" i="2"/>
  <c r="J118" i="1"/>
  <c r="J26" i="2" s="1"/>
  <c r="F197" i="1"/>
  <c r="F38" i="2" s="1"/>
  <c r="B43" i="2"/>
  <c r="B246" i="1"/>
  <c r="B46" i="2" s="1"/>
  <c r="D5" i="2"/>
  <c r="H5" i="2"/>
  <c r="L5" i="2"/>
  <c r="L20" i="1"/>
  <c r="L7" i="2" s="1"/>
  <c r="N15" i="2"/>
  <c r="N13" i="2"/>
  <c r="B59" i="2"/>
  <c r="B63" i="2"/>
  <c r="J67" i="1"/>
  <c r="J22" i="2" s="1"/>
  <c r="C204" i="1"/>
  <c r="C40" i="2" s="1"/>
  <c r="G204" i="1"/>
  <c r="G40" i="2" s="1"/>
  <c r="D246" i="1"/>
  <c r="D46" i="2" s="1"/>
  <c r="K47" i="1"/>
  <c r="K204" i="1"/>
  <c r="K40" i="2" s="1"/>
  <c r="L246" i="1"/>
  <c r="L46" i="2" s="1"/>
  <c r="D204" i="1"/>
  <c r="D40" i="2" s="1"/>
  <c r="L204" i="1"/>
  <c r="L40" i="2" s="1"/>
  <c r="E246" i="1"/>
  <c r="E46" i="2" s="1"/>
  <c r="N46" i="2"/>
  <c r="I67" i="1"/>
  <c r="E204" i="1"/>
  <c r="E40" i="2" s="1"/>
  <c r="I204" i="1"/>
  <c r="I40" i="2" s="1"/>
  <c r="M204" i="1"/>
  <c r="M40" i="2" s="1"/>
  <c r="F246" i="1"/>
  <c r="F46" i="2" s="1"/>
  <c r="J47" i="1"/>
  <c r="E50" i="1"/>
  <c r="B204" i="1"/>
  <c r="B40" i="2" s="1"/>
  <c r="J204" i="1"/>
  <c r="J40" i="2" s="1"/>
  <c r="N40" i="2"/>
  <c r="C246" i="1"/>
  <c r="C46" i="2" s="1"/>
  <c r="G246" i="1"/>
  <c r="G46" i="2" s="1"/>
  <c r="J246" i="1"/>
  <c r="J46" i="2" s="1"/>
  <c r="I246" i="1"/>
  <c r="I46" i="2" s="1"/>
  <c r="M246" i="1"/>
  <c r="M46" i="2" s="1"/>
  <c r="G47" i="1"/>
  <c r="H47" i="1"/>
  <c r="L47" i="1"/>
  <c r="K291" i="1" l="1"/>
  <c r="K326" i="1"/>
  <c r="J326" i="1"/>
  <c r="H59" i="2"/>
  <c r="H326" i="1"/>
  <c r="H246" i="1"/>
  <c r="H46" i="2" s="1"/>
  <c r="J59" i="2"/>
  <c r="K59" i="2"/>
  <c r="N52" i="1"/>
  <c r="N17" i="2" s="1"/>
  <c r="F204" i="1"/>
  <c r="F40" i="2" s="1"/>
  <c r="K246" i="1"/>
  <c r="K46" i="2" s="1"/>
  <c r="H204" i="1"/>
  <c r="H40" i="2" s="1"/>
  <c r="D63" i="2"/>
  <c r="L50" i="1"/>
  <c r="L13" i="2"/>
  <c r="G63" i="2"/>
  <c r="E15" i="2"/>
  <c r="I22" i="2"/>
  <c r="I50" i="1"/>
  <c r="I13" i="2"/>
  <c r="F63" i="2"/>
  <c r="J50" i="1"/>
  <c r="J13" i="2"/>
  <c r="M63" i="2"/>
  <c r="H50" i="1"/>
  <c r="H13" i="2"/>
  <c r="G50" i="1"/>
  <c r="G13" i="2"/>
  <c r="E63" i="2"/>
  <c r="C63" i="2"/>
  <c r="L63" i="2"/>
  <c r="K50" i="1"/>
  <c r="K13" i="2"/>
  <c r="M52" i="1"/>
  <c r="M17" i="2" s="1"/>
  <c r="F15" i="2"/>
  <c r="I63" i="2" l="1"/>
  <c r="J63" i="2"/>
  <c r="K63" i="2"/>
  <c r="H63" i="2"/>
  <c r="K15" i="2"/>
  <c r="H15" i="2"/>
  <c r="G15" i="2"/>
  <c r="J15" i="2"/>
  <c r="I15" i="2"/>
  <c r="L52" i="1"/>
  <c r="L17" i="2" s="1"/>
  <c r="L15" i="2"/>
  <c r="N25" i="2" l="1"/>
  <c r="B25" i="2" l="1"/>
  <c r="F25" i="2"/>
  <c r="K25" i="2"/>
  <c r="E25" i="2"/>
  <c r="I25" i="2"/>
  <c r="J25" i="2"/>
  <c r="L25" i="2"/>
  <c r="H25" i="2"/>
  <c r="D25" i="2"/>
  <c r="C25" i="2"/>
  <c r="M25" i="2"/>
  <c r="G25" i="2"/>
  <c r="N24" i="2"/>
  <c r="N247" i="1"/>
  <c r="N47" i="2" l="1"/>
  <c r="N35" i="2"/>
  <c r="B24" i="2" l="1"/>
  <c r="I24" i="2"/>
  <c r="F24" i="2"/>
  <c r="G24" i="2"/>
  <c r="D24" i="2"/>
  <c r="E24" i="2"/>
  <c r="G177" i="1"/>
  <c r="G247" i="1" s="1"/>
  <c r="L24" i="2"/>
  <c r="C24" i="2"/>
  <c r="H24" i="2"/>
  <c r="J177" i="1"/>
  <c r="J35" i="2" s="1"/>
  <c r="K24" i="2"/>
  <c r="K177" i="1"/>
  <c r="K35" i="2" s="1"/>
  <c r="M24" i="2"/>
  <c r="E177" i="1"/>
  <c r="E35" i="2" s="1"/>
  <c r="B177" i="1"/>
  <c r="B247" i="1" s="1"/>
  <c r="J24" i="2"/>
  <c r="M177" i="1"/>
  <c r="M247" i="1" s="1"/>
  <c r="F177" i="1"/>
  <c r="F35" i="2" s="1"/>
  <c r="H177" i="1"/>
  <c r="H35" i="2" s="1"/>
  <c r="L177" i="1"/>
  <c r="L247" i="1" s="1"/>
  <c r="D177" i="1"/>
  <c r="D35" i="2" s="1"/>
  <c r="I177" i="1"/>
  <c r="I247" i="1" s="1"/>
  <c r="C177" i="1"/>
  <c r="C35" i="2" s="1"/>
  <c r="F247" i="1" l="1"/>
  <c r="F47" i="2" s="1"/>
  <c r="B35" i="2"/>
  <c r="H247" i="1"/>
  <c r="H47" i="2" s="1"/>
  <c r="E247" i="1"/>
  <c r="E47" i="2" s="1"/>
  <c r="D247" i="1"/>
  <c r="G35" i="2"/>
  <c r="K247" i="1"/>
  <c r="K47" i="2" s="1"/>
  <c r="L35" i="2"/>
  <c r="G47" i="2"/>
  <c r="L47" i="2"/>
  <c r="B47" i="2"/>
  <c r="I47" i="2"/>
  <c r="M47" i="2"/>
  <c r="J247" i="1"/>
  <c r="M35" i="2"/>
  <c r="C247" i="1"/>
  <c r="I35" i="2"/>
  <c r="D47" i="2" l="1"/>
  <c r="C47" i="2"/>
  <c r="J47" i="2"/>
  <c r="I334" i="1"/>
  <c r="I64" i="2" s="1"/>
  <c r="H334" i="1"/>
  <c r="H64" i="2" s="1"/>
  <c r="J334" i="1"/>
  <c r="J64" i="2" s="1"/>
  <c r="N57" i="2"/>
  <c r="I57" i="2"/>
  <c r="K57" i="2"/>
  <c r="G334" i="1"/>
  <c r="G64" i="2" s="1"/>
  <c r="G57" i="2"/>
  <c r="K334" i="1"/>
  <c r="K64" i="2" s="1"/>
  <c r="J57" i="2"/>
  <c r="L57" i="2"/>
  <c r="M57" i="2"/>
  <c r="N334" i="1"/>
  <c r="N64" i="2" s="1"/>
  <c r="L334" i="1"/>
  <c r="L64" i="2" s="1"/>
  <c r="H57" i="2"/>
  <c r="M334" i="1"/>
  <c r="M337" i="1" s="1"/>
  <c r="L337" i="1" l="1"/>
  <c r="N337" i="1"/>
  <c r="N339" i="1" s="1"/>
  <c r="N67" i="2" s="1"/>
  <c r="M66" i="2"/>
  <c r="M339" i="1"/>
  <c r="M67" i="2" s="1"/>
  <c r="M64" i="2"/>
  <c r="L66" i="2" l="1"/>
  <c r="L339" i="1"/>
  <c r="L67" i="2" s="1"/>
  <c r="N66" i="2"/>
  <c r="B64" i="2"/>
  <c r="B334" i="1"/>
  <c r="E64" i="2"/>
  <c r="E334" i="1"/>
  <c r="C7" i="2"/>
  <c r="H67" i="2"/>
  <c r="H339" i="1"/>
  <c r="F67" i="2"/>
  <c r="F339" i="1"/>
  <c r="J17" i="2"/>
  <c r="E66" i="2"/>
  <c r="H337" i="1"/>
  <c r="H66" i="2"/>
  <c r="E337" i="1"/>
  <c r="E339" i="1"/>
  <c r="E67" i="2"/>
  <c r="H6" i="2"/>
  <c r="J7" i="2"/>
  <c r="K17" i="2"/>
  <c r="F17" i="2"/>
  <c r="I67" i="2"/>
  <c r="I339" i="1"/>
  <c r="G67" i="2"/>
  <c r="G339" i="1"/>
  <c r="D64" i="2"/>
  <c r="D334" i="1"/>
  <c r="D7" i="2"/>
  <c r="B67" i="2"/>
  <c r="B339" i="1"/>
  <c r="D67" i="2"/>
  <c r="D339" i="1"/>
  <c r="K6" i="2"/>
  <c r="H52" i="1"/>
  <c r="H17" i="2"/>
  <c r="K7" i="2"/>
  <c r="C6" i="2"/>
  <c r="D17" i="2"/>
  <c r="J67" i="2"/>
  <c r="J339" i="1"/>
  <c r="B7" i="2"/>
  <c r="J20" i="1"/>
  <c r="J52" i="1"/>
  <c r="J337" i="1"/>
  <c r="J66" i="2"/>
  <c r="K67" i="2"/>
  <c r="K339" i="1"/>
  <c r="C57" i="2"/>
  <c r="C291" i="1"/>
  <c r="B337" i="1"/>
  <c r="B66" i="2"/>
  <c r="B20" i="1"/>
  <c r="B52" i="1"/>
  <c r="B17" i="2"/>
  <c r="D6" i="2"/>
  <c r="E52" i="1"/>
  <c r="E17" i="2"/>
  <c r="E20" i="1"/>
  <c r="E7" i="2"/>
  <c r="E19" i="1"/>
  <c r="E6" i="2"/>
  <c r="B19" i="1"/>
  <c r="B6" i="2"/>
  <c r="D19" i="1"/>
  <c r="D20" i="1"/>
  <c r="D52" i="1"/>
  <c r="D337" i="1"/>
  <c r="D66" i="2"/>
  <c r="F7" i="2"/>
  <c r="C66" i="2"/>
  <c r="G6" i="2"/>
  <c r="H19" i="1"/>
  <c r="H20" i="1"/>
  <c r="H7" i="2"/>
  <c r="I7" i="2"/>
  <c r="G17" i="2"/>
  <c r="F291" i="1"/>
  <c r="F57" i="2"/>
  <c r="K19" i="1"/>
  <c r="K20" i="1"/>
  <c r="K52" i="1"/>
  <c r="K337" i="1"/>
  <c r="K66" i="2"/>
  <c r="I337" i="1"/>
  <c r="I66" i="2"/>
  <c r="C17" i="2"/>
  <c r="C290" i="1"/>
  <c r="C334" i="1"/>
  <c r="C64" i="2"/>
  <c r="F6" i="2"/>
  <c r="C19" i="1"/>
  <c r="C20" i="1"/>
  <c r="C52" i="1"/>
  <c r="C337" i="1"/>
  <c r="C339" i="1"/>
  <c r="C67" i="2"/>
  <c r="J19" i="1"/>
  <c r="J6" i="2"/>
  <c r="E57" i="2"/>
  <c r="E290" i="1"/>
  <c r="E291" i="1"/>
  <c r="D57" i="2"/>
  <c r="D290" i="1"/>
  <c r="D291" i="1"/>
  <c r="I6" i="2"/>
  <c r="G7" i="2"/>
  <c r="F290" i="1"/>
  <c r="F334" i="1"/>
  <c r="F64" i="2"/>
  <c r="B291" i="1"/>
  <c r="B290" i="1"/>
  <c r="B57" i="2"/>
  <c r="I19" i="1"/>
  <c r="I20" i="1"/>
  <c r="I52" i="1"/>
  <c r="I17" i="2"/>
  <c r="G19" i="1"/>
  <c r="G20" i="1"/>
  <c r="G52" i="1"/>
  <c r="G337" i="1"/>
  <c r="G66" i="2"/>
  <c r="F19" i="1"/>
  <c r="F20" i="1"/>
  <c r="F52" i="1"/>
  <c r="F337" i="1"/>
  <c r="F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Starfsfólk</author>
  </authors>
  <commentList>
    <comment ref="D113" authorId="0" shapeId="0" xr:uid="{4A93646C-D93E-4CF7-83DC-C86D89E8DA1A}">
      <text>
        <r>
          <rPr>
            <sz val="8"/>
            <color indexed="81"/>
            <rFont val="Tahoma"/>
            <family val="2"/>
          </rPr>
          <t xml:space="preserve">Almennt framlag: 22,5
flóttamannab. Palest. 4,1
Gaza: 6,1
</t>
        </r>
        <r>
          <rPr>
            <b/>
            <sz val="8"/>
            <color indexed="81"/>
            <rFont val="Tahoma"/>
            <family val="2"/>
          </rPr>
          <t>Samtals: 32,7</t>
        </r>
      </text>
    </comment>
  </commentList>
</comments>
</file>

<file path=xl/sharedStrings.xml><?xml version="1.0" encoding="utf-8"?>
<sst xmlns="http://schemas.openxmlformats.org/spreadsheetml/2006/main" count="386" uniqueCount="312">
  <si>
    <t>Tvíhliða þróunarsamvinna</t>
  </si>
  <si>
    <t>Þróunarsamvinna tengd þróunarlöndum</t>
  </si>
  <si>
    <t>Lönd</t>
  </si>
  <si>
    <t>Malaví</t>
  </si>
  <si>
    <t>Mósambík</t>
  </si>
  <si>
    <t>Namibía</t>
  </si>
  <si>
    <t>Úganda</t>
  </si>
  <si>
    <t>Sri Lanka</t>
  </si>
  <si>
    <t>Nikaragva</t>
  </si>
  <si>
    <t>Eþíópía</t>
  </si>
  <si>
    <t>Lönd samtals</t>
  </si>
  <si>
    <t>Annað</t>
  </si>
  <si>
    <t>Auðlindir og samvinna</t>
  </si>
  <si>
    <t>Sérstök verkefni</t>
  </si>
  <si>
    <t>Rekstrarkostnaður aðalskrifstofu</t>
  </si>
  <si>
    <t>Annað samtals</t>
  </si>
  <si>
    <t>Þróunarsamvinna tengd þróunarlöndum, Samtals</t>
  </si>
  <si>
    <t>Enduruppbygging á ófriðarsvæðum</t>
  </si>
  <si>
    <t>Íslenska friðargæslan</t>
  </si>
  <si>
    <t>Srí Lanka</t>
  </si>
  <si>
    <t>Líbería</t>
  </si>
  <si>
    <t>Mið-Austurlönd</t>
  </si>
  <si>
    <t>Balkanskagi</t>
  </si>
  <si>
    <t xml:space="preserve">Tyrkland </t>
  </si>
  <si>
    <t>Afganistan</t>
  </si>
  <si>
    <t>Stofnun</t>
  </si>
  <si>
    <t>Íslenska alþjóðabjörgunarsveitin</t>
  </si>
  <si>
    <t>DPKO</t>
  </si>
  <si>
    <t>NATO</t>
  </si>
  <si>
    <t>Skammtímaverkefni WFP</t>
  </si>
  <si>
    <t>Skammtímaverkefni UNICEF</t>
  </si>
  <si>
    <t xml:space="preserve">UNRWA </t>
  </si>
  <si>
    <t>ODHIR</t>
  </si>
  <si>
    <t>Stofnun samtals</t>
  </si>
  <si>
    <t>Undirbúningsnámskeið</t>
  </si>
  <si>
    <t>Alþjóðleg friðargæsla (15%)</t>
  </si>
  <si>
    <t>Enduruppbygging á ófriðarsvæðum , Samtals</t>
  </si>
  <si>
    <t>Tvíhliða þróunarsamvinna, Samtals</t>
  </si>
  <si>
    <t>Þróunarsamvinna í samstarfi við fjölþjóðlegar stofnanir</t>
  </si>
  <si>
    <t>Sameinuðu þjóðirnar</t>
  </si>
  <si>
    <t>Sameinuðu þjóðirnar almennt framlag (12%)</t>
  </si>
  <si>
    <t>Matvæla- og landbúnaðarstofnun SÞ</t>
  </si>
  <si>
    <t>Matvæla- og landbúnaðarstofnun SÞ - FAO - íslenskur styrktarsjóður</t>
  </si>
  <si>
    <t>Matvæla- og landbúnaðarstofnun SÞ - FAO - Lán á sérfræðingi</t>
  </si>
  <si>
    <t>Matvæla- og landbúnaðarstofnun SÞ - FAO - Málþing haldið á Ísl.</t>
  </si>
  <si>
    <t>Matvæla- og landbúnaðarstofnun SÞ - FAO - Verkefni</t>
  </si>
  <si>
    <t>Matvæla- og landbúnaðarstofnun SÞ - FAO - jafnréttisverkefni</t>
  </si>
  <si>
    <t>Matvæla- og landbúnaðarstofnun SÞ, samtals</t>
  </si>
  <si>
    <t>Friðargæsluskrifstofa Sameinuðu þjóðanna - UNDP</t>
  </si>
  <si>
    <t>Friðargæsluskrifstofa Sameinuðu þjóðanna - UNDP - SE4ALL</t>
  </si>
  <si>
    <t>Friðargæsluskrifstofa Sameinuðu þjóðanna - UNDP - Nordic Business Outreach</t>
  </si>
  <si>
    <t xml:space="preserve">Friðargæsluskrifstofa Sameinuðu þjóðanna - UNDP - JPO verkefni </t>
  </si>
  <si>
    <t>Friðargæsluskrifstofa Sameinuðu þjóðanna - UNDP - Integrated Framework Trust Fund</t>
  </si>
  <si>
    <t>Friðargæsluskrifstofa Sameinuðu þjóðanna - UNDP - Almannavarnarverkefni / Fulltrúi í Palestínu</t>
  </si>
  <si>
    <t>Friðargæsluskrifstofa Sameinuðu þjóðanna - UNDP, samtals</t>
  </si>
  <si>
    <t>Barnahjálp Sameinuðu þjóðanna - UNICEF</t>
  </si>
  <si>
    <t>Barnahjálp Sameinuðu þjóðanna  -UNICEF - Neyðaraðstoð</t>
  </si>
  <si>
    <t>Barnahjálp Sameinuðu þjóðanna  -UNICEF - Verkefni í Sýrlandi</t>
  </si>
  <si>
    <t>Barnahjálp Sameinuðu þjóðanna  -UNICEF - Verkefni gegn barnahermennsku</t>
  </si>
  <si>
    <t>Barnahjálp Sameinuðu þjóðanna  -UNICEF - Verkefni í Gíneu Bissá</t>
  </si>
  <si>
    <t>Barnahjálp Sameinuðu þjóðanna  -UNICEF - Verkefni í Palestínu</t>
  </si>
  <si>
    <t>Barnahjálp Sameinuðu þjóðanna  - UNICEF - Verkefni í Afganistan</t>
  </si>
  <si>
    <t>Barnahjálp Sameinuðu þjóðanna  - UNICEF - Fulltrúi Pakistan</t>
  </si>
  <si>
    <t>Barnahjálp Sameinuðu þjóðanna  - UNICEF - Fulltrúi Úganda</t>
  </si>
  <si>
    <t>Barnahjálp Sameinuðu þjóðanna  - UNICEF - Fulltrúi Palestínu</t>
  </si>
  <si>
    <t>Barnahjálp Sameinuðu þjóðanna  -UNICEF - Fulltrúi Sómalíu</t>
  </si>
  <si>
    <t>Barnahjálp Sameinuðu þjóðanna  -UNICEF - Menntaverkefni í Sierra Leone</t>
  </si>
  <si>
    <t>Barnahjálp Sameinuðu þjóðanna  -UNICEF - UNFPA FGM</t>
  </si>
  <si>
    <t xml:space="preserve">Barnahjálp Sameinuðu þjóðanna  -UNICEF - JPO verkefni </t>
  </si>
  <si>
    <t>Barnahjálp Sameinuðu þjóðanna  -UNICEF - Landsnefnd UNICEF</t>
  </si>
  <si>
    <t>Barnahjálp Sameinuðu þjóðanna - UNICEF, samtals</t>
  </si>
  <si>
    <t>Stofnun Sameinuðu þjóðanna um kynjajafnrétti og valdeflingu kvenna - UN Women</t>
  </si>
  <si>
    <t>UN Women - Jórdanía</t>
  </si>
  <si>
    <t>UN Women - Réttindi kvenna í suðaustur-Evrópu</t>
  </si>
  <si>
    <t>UN Women - Fulltrúi Balkanskaga</t>
  </si>
  <si>
    <t>UN Women - Styrktarsj. um afnám ofbeldis gegn konum</t>
  </si>
  <si>
    <t>UN Women - Afganistan</t>
  </si>
  <si>
    <t>UN Women - Úganda</t>
  </si>
  <si>
    <t>UN Women - Palestína</t>
  </si>
  <si>
    <t>UN Women - Sýrland</t>
  </si>
  <si>
    <t>UN Women - Fulltrúi Palestínu</t>
  </si>
  <si>
    <t>UN Women - Fulltrúi í Úkraínu</t>
  </si>
  <si>
    <t xml:space="preserve">UN Women - JPO verkefni </t>
  </si>
  <si>
    <t>UN Women - Loftslagsverkefni</t>
  </si>
  <si>
    <t>UN Women - Beijing+20 átaksverkefni</t>
  </si>
  <si>
    <t>UN Women - Barbershop</t>
  </si>
  <si>
    <t>UN Women - Landsnefnd</t>
  </si>
  <si>
    <t>Stofnun Sameinuðu þjóðanna um kynjajafnrétti og valdeflingu kvenna - UN Women, samtals</t>
  </si>
  <si>
    <t>Palestínuflóttamannaaðstoð Sameinuðu þjóðanna - UNRWA</t>
  </si>
  <si>
    <t>UNRWA - Fulltrúi í Amman</t>
  </si>
  <si>
    <t>UNRWA - Fulltrúi í Jerúsalem</t>
  </si>
  <si>
    <t>UNRWA - Fulltrúi í Beirút</t>
  </si>
  <si>
    <t>UNRWA - Neyðaraðstoð</t>
  </si>
  <si>
    <t>Palestínuflóttamannaaðstoð Sameinuðu þjóðanna - UNRWA, samtals</t>
  </si>
  <si>
    <t>Menningarmálastofnun Sameinuðu þjóðanna - UNESCO</t>
  </si>
  <si>
    <t>UNESCO - Neyðarsjóður (60%)</t>
  </si>
  <si>
    <t>Menningarmálastofnun Sameinuðu þjóðanna - UNESCO, samtals</t>
  </si>
  <si>
    <t>Samhæfingarskrifstofa aðgerða Sameinuðu þjóðanna í mannúðarmálum - UNOCHA</t>
  </si>
  <si>
    <t>OCHA - Palestína / Fulltrúi</t>
  </si>
  <si>
    <t>OCHA - Námskeið</t>
  </si>
  <si>
    <t>OCHA - Neyðarsjóður (CERF)</t>
  </si>
  <si>
    <t>OCHA - Neyðarsjóður fyrir Palestínu</t>
  </si>
  <si>
    <t>OCHA - Nígería</t>
  </si>
  <si>
    <t>OCHA - Sýrland</t>
  </si>
  <si>
    <t>Samhæfingarskrifstofa aðgerða Sameinuðu þjóðanna í mannúðarmálum - UNOCHA, samtals</t>
  </si>
  <si>
    <t>Mannfjöldasjóður SÞ - UNFPA</t>
  </si>
  <si>
    <t>Mannfjöldasjóður SÞ - UNFPA - Baráttan gegn fistli</t>
  </si>
  <si>
    <t>Mannfjöldasjóður SÞ - UNFPA - Verkefni</t>
  </si>
  <si>
    <t>Mannfjöldasjóður SÞ - UNFPA, samtals</t>
  </si>
  <si>
    <t>Flóttamannastofnun Sameinuðu þjóðanna - UNHCR</t>
  </si>
  <si>
    <t>UNHCR - Neyðaraðstoð</t>
  </si>
  <si>
    <t>UNHCR - Líbía</t>
  </si>
  <si>
    <t>UNHCR - Afganistan</t>
  </si>
  <si>
    <t>UNHCR - Sýrland</t>
  </si>
  <si>
    <t>Flóttamannastofnun Sameinuðu þjóðanna - UNHCR, samtals</t>
  </si>
  <si>
    <t>Matvælahjálp Sameinuðu þjóðanna - WFP</t>
  </si>
  <si>
    <t>Matvælahjálp Sameinuðu þjóðanna - WFP - Neyðaraðstoð</t>
  </si>
  <si>
    <t>Matvælahjálp Sameinuðu þjóðanna -WFP - Rammasamningur 2017-2020</t>
  </si>
  <si>
    <t>Matvælahjálp Sameinuðu þjóðanna -WFP - Börn styðja börn</t>
  </si>
  <si>
    <t>Matvælahjálp Sameinuðu þjóðanna -WFP - Fulltrúi</t>
  </si>
  <si>
    <t>Matvælahjálp Sameinuðu þjóðanna -WFP - tölvuleikur</t>
  </si>
  <si>
    <t>Matvælahjálp Sameinuðu þjóðanna - WFP, samtals</t>
  </si>
  <si>
    <t>Alþjóðaheilbrigðismálastofnunin - WHO</t>
  </si>
  <si>
    <t>Alþjóðaheilbrigðismálastofnunin  - WHO (76%)</t>
  </si>
  <si>
    <t>Alþjóðaheilbrigðismálastofnunin  - WHO - Mænusóttarverkefni</t>
  </si>
  <si>
    <t>Alþjóðaheilbrigðismálastofnunin - WHO - Neyðaraðstoð</t>
  </si>
  <si>
    <t>Alþjóðaheilbrigðismálastofnunin - WHO - Átak gegn útbreiðslu fuglaflensu</t>
  </si>
  <si>
    <t>Alþjóðaheilbrigðismálastofnunin - WHO, samtals</t>
  </si>
  <si>
    <t>Alþjóðakjarnorkumálastrofnunin - IAEA</t>
  </si>
  <si>
    <t>Alþjóðakjarnorkumálastrofnunin - IAEA - Almennt framlag (33%)</t>
  </si>
  <si>
    <t>Alþjóðakjarnorkumálastrofnunin - IAEA - Tæknisjóður</t>
  </si>
  <si>
    <t>Alþjóðakjarnorkumálastrofnunin - IAEA, samtals</t>
  </si>
  <si>
    <t xml:space="preserve">Annað </t>
  </si>
  <si>
    <t>Umhverfisstofnun sameinuðu þjóðanna - UNEP - "Assessment of Assessment"</t>
  </si>
  <si>
    <t>Sjóður Sameinuðu þjóðanna fyrir fórnarlömb pyntinga - UNVFVT</t>
  </si>
  <si>
    <t xml:space="preserve">Mennta- og rannsóknastofnun Sameinuðu þjóðanna - UNITAR </t>
  </si>
  <si>
    <r>
      <t xml:space="preserve">Þróunarsjóðir á sviði landgrunns- og hafréttar </t>
    </r>
    <r>
      <rPr>
        <sz val="8"/>
        <rFont val="Helvetica"/>
      </rPr>
      <t>(DOALOS)</t>
    </r>
  </si>
  <si>
    <t>Alþjóðaviðskiptamiðstöðina (ITC) SheTrades</t>
  </si>
  <si>
    <t>OHCHR</t>
  </si>
  <si>
    <t xml:space="preserve">Sýrland, IIIM </t>
  </si>
  <si>
    <t>Rammasamningur Sameinuðu þjóðanna um loftslagsbreytingar - UNFCCC (61%)</t>
  </si>
  <si>
    <t>Peacebuilding Fund</t>
  </si>
  <si>
    <t>Annað , samtals</t>
  </si>
  <si>
    <t>Sameinuðu þjóðirnar, Samtals</t>
  </si>
  <si>
    <t>Alþjóðabankinn</t>
  </si>
  <si>
    <t>Alþjóðaframfarastofnunin (IDA)</t>
  </si>
  <si>
    <t>Alþjóðabankinn, hlutafjáraukning (IBRD)</t>
  </si>
  <si>
    <t>Kjördæmissamstarf</t>
  </si>
  <si>
    <t>Viðskiptaumhverfi - Doing Buisness</t>
  </si>
  <si>
    <t xml:space="preserve">Átak gegn útbreiðslu fuglaflensu </t>
  </si>
  <si>
    <t>Skuldaniðurfelling þróunarríkja hjá IDA (MDRI)</t>
  </si>
  <si>
    <t>Samstarf</t>
  </si>
  <si>
    <t>Samstarf í fiskimálum PROBLUE</t>
  </si>
  <si>
    <t>Samstarf í orkumálum ESMAP</t>
  </si>
  <si>
    <t>Samstarf í jafnréttismálum GAP / Gender Umbrella</t>
  </si>
  <si>
    <t>Samstarfssamningur um orkumál í Austur-Afríku</t>
  </si>
  <si>
    <t>Samstarfssamningur um fiskiverkefni Vestur-Afríku</t>
  </si>
  <si>
    <t>Samstarf, samtals</t>
  </si>
  <si>
    <t>Sjóðir</t>
  </si>
  <si>
    <t>Íslenskur ráðgjafasjóður hjá IFC</t>
  </si>
  <si>
    <t>Mannréttindasjóður</t>
  </si>
  <si>
    <t>Starfsmannasjóður</t>
  </si>
  <si>
    <t>Súdan Sjóður</t>
  </si>
  <si>
    <t>Sjóðir, samtals</t>
  </si>
  <si>
    <t>Alþjóðabankinn, Samtals</t>
  </si>
  <si>
    <t>Önnur marghliða þróunarsamvinna</t>
  </si>
  <si>
    <t>Alþjóðaviðskiptastofnunin (WTO)</t>
  </si>
  <si>
    <t>DevCom, OECD</t>
  </si>
  <si>
    <t>Norræni þróunarsjóðurinn (NDF)</t>
  </si>
  <si>
    <t>Niðurfelling skulda þróunarríkja (HIPC)</t>
  </si>
  <si>
    <t>Alþjóðaráð Rauða Krossins</t>
  </si>
  <si>
    <t>Orkumál</t>
  </si>
  <si>
    <t>Evrópuráðið - almennt framlag</t>
  </si>
  <si>
    <t>Evrópuráðið - fulltrúi</t>
  </si>
  <si>
    <t>IOM Skylduframlag</t>
  </si>
  <si>
    <t>Tæknileg aðstoð við þróunarríki vegna orku- og auðlindamála</t>
  </si>
  <si>
    <t>Skuldastýring í þróunarríkjum</t>
  </si>
  <si>
    <t>Asíubankinn (AIIB) (85%)</t>
  </si>
  <si>
    <t>Styrktarsjóður fyrir smáeyþróunarríki - IGI</t>
  </si>
  <si>
    <t>Alþjóðagjaldeyrissjóðurinn (IMF)</t>
  </si>
  <si>
    <t>Alþjóðasjóður gegn alnæmi, berklum og malaríu</t>
  </si>
  <si>
    <t>Alþjóðasjóður um þróun landbúnaðar (IFAD)</t>
  </si>
  <si>
    <t>Global Equality Fund</t>
  </si>
  <si>
    <t>EBRD, Chernobyl sjóður</t>
  </si>
  <si>
    <t>Öryggis- og samvinnustofnun Evrópu - OSCE</t>
  </si>
  <si>
    <t>Öryggis- og samvinnustofnun Evrópu -OSCE Almennt framlag (74%)</t>
  </si>
  <si>
    <t>Öryggis- og samvinnustofnun Evrópu -OSCE Framlag vegna Úkraínu</t>
  </si>
  <si>
    <t>Öryggis- og samvinnustofnun Evrópu -OSCE Fulltrúi í Úkraínu</t>
  </si>
  <si>
    <t>Öryggis- og samvinnustofnun Evrópu - OSCE, samtals</t>
  </si>
  <si>
    <t>Loftlagsverkefni</t>
  </si>
  <si>
    <t>Loftslagsverkefni - WEDO</t>
  </si>
  <si>
    <t>Loftslagsverkefni - FAO+GEST</t>
  </si>
  <si>
    <t>Loftslagsverkefni - LDC Fund</t>
  </si>
  <si>
    <t>Loftslagsverkefni - ICEIDA</t>
  </si>
  <si>
    <t>Loftslagsverkefni - IRENA</t>
  </si>
  <si>
    <t>Loftslagsverkefni - Alþjóðaráðstefna um kolefnisbindingu</t>
  </si>
  <si>
    <t>Græni Loftslagssjóðurinn</t>
  </si>
  <si>
    <t xml:space="preserve">UNFCCC árgjald gegn eyðurmerkurmyndun </t>
  </si>
  <si>
    <t>RIO+20 Fund</t>
  </si>
  <si>
    <t>Loftlagsverkefni, samtals</t>
  </si>
  <si>
    <t>Önnur marghliða þróunarsamvinna, Samtals</t>
  </si>
  <si>
    <t>Þróunarsamvinna í samstarfi við fjölþjóðlegar stofnanir, Samtal</t>
  </si>
  <si>
    <t xml:space="preserve">Háskólar </t>
  </si>
  <si>
    <t>Jarðhitaskóli Háskóla SÞ</t>
  </si>
  <si>
    <t>Sjávarútvegsskóli Háskóla SÞ</t>
  </si>
  <si>
    <t>Landgræðsluskóli Háskóla SÞ</t>
  </si>
  <si>
    <t xml:space="preserve">Jafnréttisskóli </t>
  </si>
  <si>
    <t>Úttekt á skólum HSÞ á Íslandi</t>
  </si>
  <si>
    <t>Undirbúningur fyrir stofnun Þekkingarmiðstöðvar (skólar sameinuðu þjóðanna)</t>
  </si>
  <si>
    <t>Háskóli Íslands - Alþjóðamálastofnun</t>
  </si>
  <si>
    <t>Háskólar, samtals</t>
  </si>
  <si>
    <t>Viðskiptaþróunarsjóður</t>
  </si>
  <si>
    <t>Vísindastyrktarsjóður</t>
  </si>
  <si>
    <t>Flóttamannaaðstoð</t>
  </si>
  <si>
    <t>Flóttamannaaðstoð, samtals</t>
  </si>
  <si>
    <t>Þróunarverkefni</t>
  </si>
  <si>
    <t>Þróunarverkefni í Palestínu</t>
  </si>
  <si>
    <t>Þróunarverkefni í Afganistan</t>
  </si>
  <si>
    <t>Þróunarverkfeni, samtals</t>
  </si>
  <si>
    <t>Neyðaraðstoð</t>
  </si>
  <si>
    <t>Neyðaraðstoð í Afganistan - Neyðarsjóður ISAF</t>
  </si>
  <si>
    <t>Ýmis framlög og neyðaraðstoð</t>
  </si>
  <si>
    <t>Neyðaraðstoði, samtals</t>
  </si>
  <si>
    <t>Þróunarsamvinna</t>
  </si>
  <si>
    <t>Mannréttindaverkefni í þróunarlöndum</t>
  </si>
  <si>
    <t>Úttekt á fyrirkomulagi þróunarsamvinnu Íslands</t>
  </si>
  <si>
    <t>Þróunarsamvinna, samtals</t>
  </si>
  <si>
    <t>Félag S.Þ. á Íslandi</t>
  </si>
  <si>
    <t>Jarðskjálftarannsóknir</t>
  </si>
  <si>
    <t>Framkvæmd ályktunnar 1325</t>
  </si>
  <si>
    <t>OECD / DAC Aðildarferli</t>
  </si>
  <si>
    <t>Ársframlag Norræna afríkustofnunin NAI</t>
  </si>
  <si>
    <t>Gendernet</t>
  </si>
  <si>
    <t>Kynningarmál og viðburðir</t>
  </si>
  <si>
    <t>Rekstrarkostnaður</t>
  </si>
  <si>
    <t>Annað, samtals</t>
  </si>
  <si>
    <t>Framlög til félagasamtaka</t>
  </si>
  <si>
    <t>Barnaaðstoð</t>
  </si>
  <si>
    <t>ABC barnahjálp</t>
  </si>
  <si>
    <t>Barnaheill</t>
  </si>
  <si>
    <t>Æskan í Öndvegi</t>
  </si>
  <si>
    <t>SOS - Barnaþorp</t>
  </si>
  <si>
    <t>Alnæmisbörn</t>
  </si>
  <si>
    <t>Barnaaðstoð, samtals</t>
  </si>
  <si>
    <t>Íslensk félagssamtök</t>
  </si>
  <si>
    <t>Niras</t>
  </si>
  <si>
    <t>Women Power Africa</t>
  </si>
  <si>
    <t>Intosai</t>
  </si>
  <si>
    <t>Stómasamtök Íslands</t>
  </si>
  <si>
    <t>UMOJA</t>
  </si>
  <si>
    <t>Broskallar</t>
  </si>
  <si>
    <t>Rauði kross Íslands</t>
  </si>
  <si>
    <t>Hjálparstarf kirkjunnar</t>
  </si>
  <si>
    <t>Samband íslenskra kristniboðsfélaga</t>
  </si>
  <si>
    <t>ENZA</t>
  </si>
  <si>
    <t>BISER</t>
  </si>
  <si>
    <t>Samhyggð</t>
  </si>
  <si>
    <t>Íslensk félagssamtök, samtals</t>
  </si>
  <si>
    <t>SP0ES - Togo</t>
  </si>
  <si>
    <t>Landsnefnd UNICEF - Austur Kongó</t>
  </si>
  <si>
    <t>Makeba - endurhæfingarstöð fyrir stúlkur í S-Afríku</t>
  </si>
  <si>
    <t>Sól í Tógó</t>
  </si>
  <si>
    <t>Félagið Ísland-Palestína</t>
  </si>
  <si>
    <t>Lönd, samtals</t>
  </si>
  <si>
    <t>Ráðgjöf, fræðsla, eftirlit og úttektir</t>
  </si>
  <si>
    <t>Rekstur, samtals</t>
  </si>
  <si>
    <t>Framlög til félagasamtaka, Samtals</t>
  </si>
  <si>
    <t>Annað Samtals</t>
  </si>
  <si>
    <t>SAMTALS</t>
  </si>
  <si>
    <t>Hlutfall af vergum þjóðartekjum (%)</t>
  </si>
  <si>
    <t>Vergar þjóðartekjur (í milljónum króna)</t>
  </si>
  <si>
    <t xml:space="preserve">Þróunarsamvinna í samstarfsríkjum </t>
  </si>
  <si>
    <t xml:space="preserve">Samstarfssjóðir við atvinnulífið </t>
  </si>
  <si>
    <t>Kosningaeftirlit ÖSE (málefnasvið 4)</t>
  </si>
  <si>
    <t>Nordic Women's Mediators (NWM)</t>
  </si>
  <si>
    <t>Stofnanir sameinuðu þjóðanna</t>
  </si>
  <si>
    <t>Friðargæsluskrifstofa Sameinuðu þjóðanna - UNDP - Kjarnaframlag</t>
  </si>
  <si>
    <t>Friðargæsluskrifstofa Sameinuðu þjóðanna - UNDP - Neyðaraðstoð</t>
  </si>
  <si>
    <t xml:space="preserve">Friðargæsluskrifstofa Sameinuðu þjóðanna - UNDP - Jafnréttisvottun </t>
  </si>
  <si>
    <t>Barnahjálp Sameinuðu þjóðanna  - UNICEF - Kjarnaframlag</t>
  </si>
  <si>
    <t>Matvæla- og landbúnaðarstofnun SÞ - FAO (51%) (málefnasvið 4)</t>
  </si>
  <si>
    <t>UN Women - Kjarnaframlag</t>
  </si>
  <si>
    <t>UNRWA - Kjarnaframlag</t>
  </si>
  <si>
    <t>UNESCO (60%)( Málefnasvið 4) - Kjarnaframlag</t>
  </si>
  <si>
    <t>UNESCO - Afganistan</t>
  </si>
  <si>
    <t>OCHA - Kjarnaframlag</t>
  </si>
  <si>
    <t>Mannfjöldasjóður SÞ - UNFPA - Kjarnaframlag</t>
  </si>
  <si>
    <t>UNHCR - Kjarnaframlag</t>
  </si>
  <si>
    <t>UNHCR - Venesúela</t>
  </si>
  <si>
    <t xml:space="preserve">UNHCR - Global Refugee Forum </t>
  </si>
  <si>
    <t>Alþjóðavinnumálastofnunin - ILO (60%)</t>
  </si>
  <si>
    <t>Sameinuðu þjóðirnar - styrktarsjóður f. Þróunarmál</t>
  </si>
  <si>
    <t>Sameinuðu þjóðirnar kjarnaframlag (47%)</t>
  </si>
  <si>
    <t>Sameinuðu þjóðirnar kjarnaframlag (12%)</t>
  </si>
  <si>
    <t xml:space="preserve">UN Women - Valdefling kvenna </t>
  </si>
  <si>
    <t>Samstarf í fiskimálum PROBLUE (áður PROFISH) - kjarnaframlag</t>
  </si>
  <si>
    <t xml:space="preserve">Rekstur aðalskrifstofu </t>
  </si>
  <si>
    <t>Rekstrarkostnaður íslensku friðargæslunnar</t>
  </si>
  <si>
    <t xml:space="preserve">Rekstrarkostnaður alþjóðabankans </t>
  </si>
  <si>
    <t>Rekstrarkostnaður umhverfis- og loftslagsmála</t>
  </si>
  <si>
    <t>Rekstrarkostnaður GRÓ þekkingarmiðstöð þróunarsamvinnu</t>
  </si>
  <si>
    <t>Rekstur félagsamtaka</t>
  </si>
  <si>
    <t>Akademískur styrkur</t>
  </si>
  <si>
    <t>Sameinuðu þjóðirnar fulltrúi í NY</t>
  </si>
  <si>
    <t>Vinir Indlands</t>
  </si>
  <si>
    <t>Samstarfssamningur um fiskiverkefni Asíu</t>
  </si>
  <si>
    <t>Umsækjendur um vernd - UTL</t>
  </si>
  <si>
    <t>Rekstur aðalskrifstofu ÞSSÍ</t>
  </si>
  <si>
    <t>UNDPKO (15%)</t>
  </si>
  <si>
    <t>Flóttamannaaðstoð /  Kvótaflóttafólk - FRN</t>
  </si>
  <si>
    <t>Opinber þróunarsamvinna (ODA) (í milljónum króna)</t>
  </si>
  <si>
    <t>Samantekt á opinberri þróunarsamvinnu (ODA) (í milljónum króna)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</si>
</sst>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Helvetica"/>
    </font>
    <font>
      <sz val="8"/>
      <name val="Helvetica"/>
    </font>
    <font>
      <b/>
      <sz val="10"/>
      <name val="Helvetica"/>
    </font>
    <font>
      <sz val="9"/>
      <name val="Helvetica"/>
    </font>
    <font>
      <b/>
      <sz val="9"/>
      <name val="Helvetica"/>
    </font>
    <font>
      <b/>
      <sz val="9"/>
      <color theme="1"/>
      <name val="Helvetica"/>
    </font>
    <font>
      <b/>
      <sz val="8"/>
      <color rgb="FF9C57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name val="Helvetic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Helvetica"/>
    </font>
    <font>
      <b/>
      <sz val="11"/>
      <color rgb="FF000000"/>
      <name val="Calibri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BACC6"/>
        <bgColor rgb="FF000000"/>
      </patternFill>
    </fill>
    <fill>
      <patternFill patternType="solid">
        <fgColor rgb="FFB7DEE8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FFFFFF"/>
      </patternFill>
    </fill>
  </fills>
  <borders count="5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48">
    <xf numFmtId="0" fontId="0" fillId="0" borderId="0" xfId="0"/>
    <xf numFmtId="0" fontId="6" fillId="0" borderId="0" xfId="0" applyFont="1"/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3" xfId="0" applyFont="1" applyFill="1" applyBorder="1"/>
    <xf numFmtId="0" fontId="6" fillId="0" borderId="3" xfId="0" applyFont="1" applyBorder="1"/>
    <xf numFmtId="0" fontId="4" fillId="7" borderId="5" xfId="4" applyFill="1" applyBorder="1"/>
    <xf numFmtId="0" fontId="6" fillId="7" borderId="6" xfId="0" applyFont="1" applyFill="1" applyBorder="1"/>
    <xf numFmtId="0" fontId="1" fillId="5" borderId="8" xfId="6" applyBorder="1"/>
    <xf numFmtId="0" fontId="7" fillId="8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2" fillId="2" borderId="11" xfId="2" applyBorder="1"/>
    <xf numFmtId="164" fontId="8" fillId="6" borderId="12" xfId="0" applyNumberFormat="1" applyFont="1" applyFill="1" applyBorder="1" applyAlignment="1">
      <alignment horizontal="left" indent="1"/>
    </xf>
    <xf numFmtId="164" fontId="8" fillId="8" borderId="13" xfId="0" applyNumberFormat="1" applyFont="1" applyFill="1" applyBorder="1" applyAlignment="1">
      <alignment horizontal="left" indent="1"/>
    </xf>
    <xf numFmtId="164" fontId="8" fillId="8" borderId="14" xfId="0" applyNumberFormat="1" applyFont="1" applyFill="1" applyBorder="1" applyAlignment="1">
      <alignment horizontal="left" indent="1"/>
    </xf>
    <xf numFmtId="164" fontId="8" fillId="8" borderId="15" xfId="0" applyNumberFormat="1" applyFont="1" applyFill="1" applyBorder="1" applyAlignment="1">
      <alignment horizontal="left" indent="1"/>
    </xf>
    <xf numFmtId="164" fontId="8" fillId="6" borderId="11" xfId="0" applyNumberFormat="1" applyFont="1" applyFill="1" applyBorder="1" applyAlignment="1">
      <alignment horizontal="left" indent="1"/>
    </xf>
    <xf numFmtId="164" fontId="8" fillId="6" borderId="15" xfId="0" applyNumberFormat="1" applyFont="1" applyFill="1" applyBorder="1" applyAlignment="1">
      <alignment horizontal="left" indent="1"/>
    </xf>
    <xf numFmtId="164" fontId="8" fillId="6" borderId="16" xfId="0" applyNumberFormat="1" applyFont="1" applyFill="1" applyBorder="1" applyAlignment="1">
      <alignment horizontal="left" indent="1"/>
    </xf>
    <xf numFmtId="164" fontId="8" fillId="8" borderId="17" xfId="0" applyNumberFormat="1" applyFont="1" applyFill="1" applyBorder="1" applyAlignment="1">
      <alignment horizontal="left" indent="1"/>
    </xf>
    <xf numFmtId="164" fontId="8" fillId="8" borderId="16" xfId="0" applyNumberFormat="1" applyFont="1" applyFill="1" applyBorder="1" applyAlignment="1">
      <alignment horizontal="left" indent="1"/>
    </xf>
    <xf numFmtId="164" fontId="9" fillId="6" borderId="16" xfId="0" applyNumberFormat="1" applyFont="1" applyFill="1" applyBorder="1" applyAlignment="1">
      <alignment horizontal="left" indent="1"/>
    </xf>
    <xf numFmtId="164" fontId="9" fillId="8" borderId="17" xfId="0" applyNumberFormat="1" applyFont="1" applyFill="1" applyBorder="1" applyAlignment="1">
      <alignment horizontal="left" indent="1"/>
    </xf>
    <xf numFmtId="164" fontId="2" fillId="2" borderId="15" xfId="2" applyNumberFormat="1" applyBorder="1" applyAlignment="1">
      <alignment horizontal="left"/>
    </xf>
    <xf numFmtId="164" fontId="8" fillId="0" borderId="14" xfId="0" applyNumberFormat="1" applyFont="1" applyBorder="1" applyAlignment="1">
      <alignment horizontal="left" indent="1"/>
    </xf>
    <xf numFmtId="0" fontId="3" fillId="6" borderId="19" xfId="3" applyFill="1" applyBorder="1" applyAlignment="1">
      <alignment horizontal="left"/>
    </xf>
    <xf numFmtId="164" fontId="1" fillId="5" borderId="10" xfId="6" applyNumberFormat="1" applyBorder="1"/>
    <xf numFmtId="0" fontId="0" fillId="0" borderId="11" xfId="0" applyBorder="1"/>
    <xf numFmtId="0" fontId="0" fillId="0" borderId="21" xfId="0" applyBorder="1"/>
    <xf numFmtId="164" fontId="9" fillId="8" borderId="14" xfId="0" applyNumberFormat="1" applyFont="1" applyFill="1" applyBorder="1" applyAlignment="1">
      <alignment horizontal="left" indent="1"/>
    </xf>
    <xf numFmtId="49" fontId="1" fillId="5" borderId="26" xfId="6" applyNumberFormat="1" applyBorder="1"/>
    <xf numFmtId="0" fontId="1" fillId="4" borderId="15" xfId="5" applyBorder="1"/>
    <xf numFmtId="0" fontId="2" fillId="2" borderId="27" xfId="2" applyBorder="1"/>
    <xf numFmtId="164" fontId="8" fillId="6" borderId="27" xfId="0" applyNumberFormat="1" applyFont="1" applyFill="1" applyBorder="1"/>
    <xf numFmtId="164" fontId="8" fillId="6" borderId="28" xfId="0" applyNumberFormat="1" applyFont="1" applyFill="1" applyBorder="1"/>
    <xf numFmtId="164" fontId="9" fillId="6" borderId="28" xfId="0" applyNumberFormat="1" applyFont="1" applyFill="1" applyBorder="1"/>
    <xf numFmtId="164" fontId="2" fillId="2" borderId="27" xfId="2" applyNumberFormat="1" applyBorder="1"/>
    <xf numFmtId="0" fontId="2" fillId="2" borderId="0" xfId="2" applyBorder="1"/>
    <xf numFmtId="164" fontId="1" fillId="4" borderId="16" xfId="5" applyNumberFormat="1" applyBorder="1"/>
    <xf numFmtId="0" fontId="3" fillId="0" borderId="29" xfId="3" applyBorder="1"/>
    <xf numFmtId="0" fontId="3" fillId="6" borderId="5" xfId="3" applyFill="1" applyBorder="1" applyAlignment="1">
      <alignment horizontal="left"/>
    </xf>
    <xf numFmtId="0" fontId="1" fillId="5" borderId="30" xfId="6" applyBorder="1"/>
    <xf numFmtId="164" fontId="8" fillId="6" borderId="16" xfId="0" applyNumberFormat="1" applyFont="1" applyFill="1" applyBorder="1" applyAlignment="1">
      <alignment horizontal="left"/>
    </xf>
    <xf numFmtId="164" fontId="2" fillId="2" borderId="27" xfId="2" applyNumberFormat="1" applyBorder="1" applyAlignment="1">
      <alignment horizontal="left"/>
    </xf>
    <xf numFmtId="0" fontId="8" fillId="6" borderId="27" xfId="0" applyFont="1" applyFill="1" applyBorder="1"/>
    <xf numFmtId="0" fontId="8" fillId="6" borderId="28" xfId="0" applyFont="1" applyFill="1" applyBorder="1"/>
    <xf numFmtId="0" fontId="9" fillId="6" borderId="28" xfId="0" applyFont="1" applyFill="1" applyBorder="1"/>
    <xf numFmtId="0" fontId="10" fillId="6" borderId="22" xfId="0" applyFont="1" applyFill="1" applyBorder="1"/>
    <xf numFmtId="0" fontId="2" fillId="2" borderId="0" xfId="2"/>
    <xf numFmtId="164" fontId="8" fillId="6" borderId="15" xfId="0" applyNumberFormat="1" applyFont="1" applyFill="1" applyBorder="1"/>
    <xf numFmtId="164" fontId="8" fillId="6" borderId="16" xfId="0" applyNumberFormat="1" applyFont="1" applyFill="1" applyBorder="1"/>
    <xf numFmtId="164" fontId="9" fillId="6" borderId="16" xfId="0" applyNumberFormat="1" applyFont="1" applyFill="1" applyBorder="1"/>
    <xf numFmtId="0" fontId="3" fillId="6" borderId="31" xfId="3" applyFill="1" applyBorder="1"/>
    <xf numFmtId="165" fontId="1" fillId="5" borderId="15" xfId="6" applyNumberFormat="1" applyBorder="1" applyAlignment="1">
      <alignment horizontal="left"/>
    </xf>
    <xf numFmtId="165" fontId="8" fillId="6" borderId="27" xfId="0" applyNumberFormat="1" applyFont="1" applyFill="1" applyBorder="1"/>
    <xf numFmtId="165" fontId="8" fillId="6" borderId="28" xfId="0" applyNumberFormat="1" applyFont="1" applyFill="1" applyBorder="1"/>
    <xf numFmtId="165" fontId="9" fillId="6" borderId="28" xfId="0" applyNumberFormat="1" applyFont="1" applyFill="1" applyBorder="1"/>
    <xf numFmtId="165" fontId="2" fillId="2" borderId="27" xfId="2" applyNumberFormat="1" applyBorder="1"/>
    <xf numFmtId="0" fontId="8" fillId="6" borderId="0" xfId="0" applyFont="1" applyFill="1"/>
    <xf numFmtId="0" fontId="8" fillId="6" borderId="13" xfId="0" applyFont="1" applyFill="1" applyBorder="1"/>
    <xf numFmtId="0" fontId="3" fillId="6" borderId="29" xfId="3" applyFill="1" applyBorder="1"/>
    <xf numFmtId="165" fontId="1" fillId="5" borderId="12" xfId="6" applyNumberFormat="1" applyBorder="1"/>
    <xf numFmtId="0" fontId="3" fillId="0" borderId="5" xfId="3" applyBorder="1"/>
    <xf numFmtId="0" fontId="4" fillId="3" borderId="5" xfId="4" applyBorder="1"/>
    <xf numFmtId="0" fontId="8" fillId="6" borderId="2" xfId="0" applyFont="1" applyFill="1" applyBorder="1"/>
    <xf numFmtId="0" fontId="8" fillId="6" borderId="32" xfId="0" applyFont="1" applyFill="1" applyBorder="1"/>
    <xf numFmtId="0" fontId="11" fillId="2" borderId="27" xfId="2" applyFont="1" applyBorder="1"/>
    <xf numFmtId="0" fontId="8" fillId="6" borderId="24" xfId="0" applyFont="1" applyFill="1" applyBorder="1"/>
    <xf numFmtId="165" fontId="10" fillId="6" borderId="23" xfId="0" applyNumberFormat="1" applyFont="1" applyFill="1" applyBorder="1"/>
    <xf numFmtId="165" fontId="1" fillId="5" borderId="11" xfId="6" applyNumberFormat="1" applyBorder="1"/>
    <xf numFmtId="0" fontId="2" fillId="2" borderId="33" xfId="2" applyBorder="1"/>
    <xf numFmtId="164" fontId="8" fillId="6" borderId="8" xfId="0" applyNumberFormat="1" applyFont="1" applyFill="1" applyBorder="1"/>
    <xf numFmtId="164" fontId="8" fillId="6" borderId="27" xfId="2" applyNumberFormat="1" applyFont="1" applyFill="1" applyBorder="1"/>
    <xf numFmtId="0" fontId="6" fillId="7" borderId="0" xfId="0" applyFont="1" applyFill="1"/>
    <xf numFmtId="0" fontId="12" fillId="6" borderId="2" xfId="3" applyFont="1" applyFill="1" applyBorder="1"/>
    <xf numFmtId="0" fontId="7" fillId="8" borderId="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64" fontId="8" fillId="8" borderId="14" xfId="0" applyNumberFormat="1" applyFont="1" applyFill="1" applyBorder="1"/>
    <xf numFmtId="164" fontId="8" fillId="8" borderId="17" xfId="0" applyNumberFormat="1" applyFont="1" applyFill="1" applyBorder="1"/>
    <xf numFmtId="164" fontId="9" fillId="8" borderId="17" xfId="0" applyNumberFormat="1" applyFont="1" applyFill="1" applyBorder="1"/>
    <xf numFmtId="164" fontId="8" fillId="8" borderId="15" xfId="0" applyNumberFormat="1" applyFont="1" applyFill="1" applyBorder="1"/>
    <xf numFmtId="164" fontId="9" fillId="8" borderId="14" xfId="0" applyNumberFormat="1" applyFont="1" applyFill="1" applyBorder="1"/>
    <xf numFmtId="164" fontId="8" fillId="0" borderId="14" xfId="0" applyNumberFormat="1" applyFont="1" applyBorder="1"/>
    <xf numFmtId="164" fontId="1" fillId="4" borderId="14" xfId="5" applyNumberFormat="1" applyBorder="1"/>
    <xf numFmtId="164" fontId="4" fillId="3" borderId="10" xfId="4" applyNumberFormat="1" applyBorder="1"/>
    <xf numFmtId="0" fontId="6" fillId="7" borderId="3" xfId="0" applyFont="1" applyFill="1" applyBorder="1"/>
    <xf numFmtId="0" fontId="6" fillId="7" borderId="4" xfId="0" applyFont="1" applyFill="1" applyBorder="1"/>
    <xf numFmtId="164" fontId="1" fillId="5" borderId="34" xfId="6" applyNumberFormat="1" applyBorder="1"/>
    <xf numFmtId="164" fontId="16" fillId="8" borderId="14" xfId="0" applyNumberFormat="1" applyFont="1" applyFill="1" applyBorder="1"/>
    <xf numFmtId="164" fontId="13" fillId="8" borderId="14" xfId="0" applyNumberFormat="1" applyFont="1" applyFill="1" applyBorder="1"/>
    <xf numFmtId="164" fontId="0" fillId="5" borderId="25" xfId="6" applyNumberFormat="1" applyFont="1" applyBorder="1"/>
    <xf numFmtId="164" fontId="8" fillId="8" borderId="14" xfId="0" applyNumberFormat="1" applyFont="1" applyFill="1" applyBorder="1" applyAlignment="1">
      <alignment horizontal="center"/>
    </xf>
    <xf numFmtId="164" fontId="1" fillId="5" borderId="25" xfId="6" applyNumberFormat="1" applyBorder="1"/>
    <xf numFmtId="164" fontId="8" fillId="8" borderId="35" xfId="0" applyNumberFormat="1" applyFont="1" applyFill="1" applyBorder="1"/>
    <xf numFmtId="164" fontId="10" fillId="8" borderId="14" xfId="0" applyNumberFormat="1" applyFont="1" applyFill="1" applyBorder="1"/>
    <xf numFmtId="164" fontId="8" fillId="8" borderId="34" xfId="0" applyNumberFormat="1" applyFont="1" applyFill="1" applyBorder="1"/>
    <xf numFmtId="164" fontId="8" fillId="8" borderId="14" xfId="0" applyNumberFormat="1" applyFont="1" applyFill="1" applyBorder="1" applyAlignment="1">
      <alignment horizontal="center" vertical="center"/>
    </xf>
    <xf numFmtId="164" fontId="8" fillId="8" borderId="36" xfId="0" applyNumberFormat="1" applyFont="1" applyFill="1" applyBorder="1"/>
    <xf numFmtId="164" fontId="8" fillId="8" borderId="33" xfId="0" applyNumberFormat="1" applyFont="1" applyFill="1" applyBorder="1"/>
    <xf numFmtId="164" fontId="9" fillId="8" borderId="33" xfId="0" applyNumberFormat="1" applyFont="1" applyFill="1" applyBorder="1"/>
    <xf numFmtId="164" fontId="12" fillId="8" borderId="3" xfId="3" applyNumberFormat="1" applyFont="1" applyFill="1" applyBorder="1"/>
    <xf numFmtId="164" fontId="12" fillId="0" borderId="3" xfId="3" applyNumberFormat="1" applyFont="1" applyFill="1" applyBorder="1"/>
    <xf numFmtId="3" fontId="9" fillId="8" borderId="33" xfId="0" applyNumberFormat="1" applyFont="1" applyFill="1" applyBorder="1"/>
    <xf numFmtId="0" fontId="7" fillId="6" borderId="38" xfId="0" applyFont="1" applyFill="1" applyBorder="1"/>
    <xf numFmtId="10" fontId="7" fillId="8" borderId="39" xfId="1" applyNumberFormat="1" applyFont="1" applyFill="1" applyBorder="1"/>
    <xf numFmtId="10" fontId="7" fillId="0" borderId="39" xfId="1" applyNumberFormat="1" applyFont="1" applyFill="1" applyBorder="1"/>
    <xf numFmtId="10" fontId="7" fillId="8" borderId="40" xfId="1" applyNumberFormat="1" applyFont="1" applyFill="1" applyBorder="1"/>
    <xf numFmtId="10" fontId="7" fillId="0" borderId="41" xfId="1" applyNumberFormat="1" applyFont="1" applyFill="1" applyBorder="1"/>
    <xf numFmtId="0" fontId="8" fillId="6" borderId="12" xfId="0" applyFont="1" applyFill="1" applyBorder="1"/>
    <xf numFmtId="3" fontId="9" fillId="8" borderId="37" xfId="0" applyNumberFormat="1" applyFont="1" applyFill="1" applyBorder="1"/>
    <xf numFmtId="3" fontId="9" fillId="8" borderId="13" xfId="0" applyNumberFormat="1" applyFont="1" applyFill="1" applyBorder="1"/>
    <xf numFmtId="0" fontId="7" fillId="8" borderId="35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/>
    <xf numFmtId="164" fontId="10" fillId="8" borderId="14" xfId="0" applyNumberFormat="1" applyFont="1" applyFill="1" applyBorder="1" applyAlignment="1">
      <alignment horizontal="left" indent="1"/>
    </xf>
    <xf numFmtId="164" fontId="10" fillId="8" borderId="20" xfId="0" applyNumberFormat="1" applyFont="1" applyFill="1" applyBorder="1" applyAlignment="1">
      <alignment horizontal="left" indent="1"/>
    </xf>
    <xf numFmtId="0" fontId="6" fillId="0" borderId="21" xfId="0" applyFont="1" applyBorder="1"/>
    <xf numFmtId="164" fontId="10" fillId="8" borderId="17" xfId="0" applyNumberFormat="1" applyFont="1" applyFill="1" applyBorder="1"/>
    <xf numFmtId="164" fontId="12" fillId="8" borderId="42" xfId="3" applyNumberFormat="1" applyFont="1" applyFill="1" applyBorder="1"/>
    <xf numFmtId="0" fontId="7" fillId="6" borderId="43" xfId="0" applyFont="1" applyFill="1" applyBorder="1"/>
    <xf numFmtId="10" fontId="7" fillId="8" borderId="44" xfId="1" applyNumberFormat="1" applyFont="1" applyFill="1" applyBorder="1"/>
    <xf numFmtId="10" fontId="7" fillId="0" borderId="44" xfId="1" applyNumberFormat="1" applyFont="1" applyFill="1" applyBorder="1"/>
    <xf numFmtId="49" fontId="17" fillId="9" borderId="5" xfId="4" applyNumberFormat="1" applyFont="1" applyFill="1" applyBorder="1"/>
    <xf numFmtId="0" fontId="18" fillId="10" borderId="30" xfId="6" applyFont="1" applyFill="1" applyBorder="1"/>
    <xf numFmtId="164" fontId="19" fillId="11" borderId="45" xfId="0" applyNumberFormat="1" applyFont="1" applyFill="1" applyBorder="1" applyAlignment="1">
      <alignment horizontal="left" indent="1"/>
    </xf>
    <xf numFmtId="164" fontId="19" fillId="11" borderId="46" xfId="0" applyNumberFormat="1" applyFont="1" applyFill="1" applyBorder="1" applyAlignment="1">
      <alignment horizontal="left" indent="1"/>
    </xf>
    <xf numFmtId="0" fontId="20" fillId="11" borderId="31" xfId="3" applyFont="1" applyFill="1" applyBorder="1" applyAlignment="1">
      <alignment horizontal="left"/>
    </xf>
    <xf numFmtId="49" fontId="18" fillId="10" borderId="26" xfId="6" applyNumberFormat="1" applyFont="1" applyFill="1" applyBorder="1"/>
    <xf numFmtId="0" fontId="18" fillId="12" borderId="15" xfId="5" applyFont="1" applyFill="1" applyBorder="1"/>
    <xf numFmtId="164" fontId="19" fillId="11" borderId="45" xfId="0" applyNumberFormat="1" applyFont="1" applyFill="1" applyBorder="1"/>
    <xf numFmtId="164" fontId="19" fillId="11" borderId="47" xfId="0" applyNumberFormat="1" applyFont="1" applyFill="1" applyBorder="1"/>
    <xf numFmtId="164" fontId="18" fillId="12" borderId="16" xfId="5" applyNumberFormat="1" applyFont="1" applyFill="1" applyBorder="1"/>
    <xf numFmtId="0" fontId="20" fillId="0" borderId="29" xfId="3" applyFont="1" applyFill="1" applyBorder="1"/>
    <xf numFmtId="0" fontId="21" fillId="0" borderId="11" xfId="0" applyFont="1" applyBorder="1"/>
    <xf numFmtId="0" fontId="20" fillId="11" borderId="5" xfId="3" applyFont="1" applyFill="1" applyBorder="1" applyAlignment="1">
      <alignment horizontal="left"/>
    </xf>
    <xf numFmtId="0" fontId="21" fillId="0" borderId="0" xfId="0" applyFont="1"/>
    <xf numFmtId="49" fontId="21" fillId="0" borderId="0" xfId="0" applyNumberFormat="1" applyFont="1"/>
    <xf numFmtId="0" fontId="6" fillId="0" borderId="48" xfId="0" applyFont="1" applyBorder="1"/>
    <xf numFmtId="164" fontId="12" fillId="0" borderId="42" xfId="3" applyNumberFormat="1" applyFont="1" applyFill="1" applyBorder="1"/>
    <xf numFmtId="0" fontId="3" fillId="6" borderId="0" xfId="3" applyFill="1" applyBorder="1"/>
    <xf numFmtId="164" fontId="9" fillId="8" borderId="36" xfId="0" applyNumberFormat="1" applyFont="1" applyFill="1" applyBorder="1"/>
    <xf numFmtId="165" fontId="9" fillId="6" borderId="49" xfId="0" applyNumberFormat="1" applyFont="1" applyFill="1" applyBorder="1"/>
    <xf numFmtId="0" fontId="0" fillId="0" borderId="50" xfId="0" applyBorder="1"/>
    <xf numFmtId="0" fontId="0" fillId="0" borderId="51" xfId="0" applyBorder="1"/>
    <xf numFmtId="0" fontId="5" fillId="6" borderId="0" xfId="0" applyFont="1" applyFill="1" applyAlignment="1">
      <alignment horizontal="center"/>
    </xf>
  </cellXfs>
  <cellStyles count="7">
    <cellStyle name="20% - Accent5" xfId="5" builtinId="46"/>
    <cellStyle name="40% - Accent5" xfId="6" builtinId="47"/>
    <cellStyle name="Accent5" xfId="4" builtinId="45"/>
    <cellStyle name="Neutral" xfId="2" builtinId="28"/>
    <cellStyle name="Normal" xfId="0" builtinId="0"/>
    <cellStyle name="Percent" xfId="1" builtinId="5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43FF-6343-4EE7-B906-BDF83DF6B778}">
  <dimension ref="A1:O340"/>
  <sheetViews>
    <sheetView showGridLines="0" tabSelected="1" zoomScale="90" zoomScaleNormal="90" workbookViewId="0">
      <selection sqref="A1:M1"/>
    </sheetView>
  </sheetViews>
  <sheetFormatPr defaultRowHeight="15" x14ac:dyDescent="0.25"/>
  <cols>
    <col min="1" max="1" width="73" customWidth="1"/>
    <col min="2" max="9" width="13.42578125" customWidth="1"/>
    <col min="10" max="10" width="12.85546875" customWidth="1"/>
    <col min="11" max="11" width="13.42578125" customWidth="1"/>
    <col min="12" max="12" width="12.85546875" customWidth="1"/>
    <col min="13" max="13" width="13.42578125" customWidth="1"/>
    <col min="14" max="14" width="13.42578125" bestFit="1" customWidth="1"/>
    <col min="15" max="15" width="13.85546875" customWidth="1"/>
  </cols>
  <sheetData>
    <row r="1" spans="1:15" ht="18.75" thickBot="1" x14ac:dyDescent="0.3">
      <c r="A1" s="147" t="s">
        <v>310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"/>
    </row>
    <row r="2" spans="1:15" ht="15.75" thickBot="1" x14ac:dyDescent="0.3">
      <c r="A2" s="2"/>
      <c r="B2" s="3"/>
      <c r="C2" s="4"/>
      <c r="D2" s="3"/>
      <c r="E2" s="4"/>
      <c r="F2" s="4"/>
      <c r="G2" s="4"/>
      <c r="H2" s="5"/>
      <c r="I2" s="5"/>
      <c r="J2" s="5"/>
      <c r="K2" s="5"/>
      <c r="L2" s="5"/>
      <c r="M2" s="5"/>
      <c r="N2" s="5"/>
      <c r="O2" s="140"/>
    </row>
    <row r="3" spans="1:15" ht="15.75" thickBot="1" x14ac:dyDescent="0.3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thickBot="1" x14ac:dyDescent="0.3">
      <c r="A4" s="8" t="s">
        <v>271</v>
      </c>
      <c r="B4" s="9">
        <v>2006</v>
      </c>
      <c r="C4" s="10">
        <v>2007</v>
      </c>
      <c r="D4" s="11">
        <v>2008</v>
      </c>
      <c r="E4" s="10">
        <v>2009</v>
      </c>
      <c r="F4" s="11">
        <v>2010</v>
      </c>
      <c r="G4" s="10">
        <v>2011</v>
      </c>
      <c r="H4" s="11">
        <v>2012</v>
      </c>
      <c r="I4" s="10">
        <v>2013</v>
      </c>
      <c r="J4" s="11">
        <v>2014</v>
      </c>
      <c r="K4" s="10">
        <v>2015</v>
      </c>
      <c r="L4" s="11">
        <v>2016</v>
      </c>
      <c r="M4" s="10">
        <v>2017</v>
      </c>
      <c r="N4" s="10">
        <v>2018</v>
      </c>
      <c r="O4" s="10">
        <v>2019</v>
      </c>
    </row>
    <row r="5" spans="1:15" x14ac:dyDescent="0.25">
      <c r="A5" s="12" t="s">
        <v>2</v>
      </c>
    </row>
    <row r="6" spans="1:15" x14ac:dyDescent="0.25">
      <c r="A6" s="13" t="s">
        <v>3</v>
      </c>
      <c r="B6" s="14">
        <v>260.3</v>
      </c>
      <c r="C6" s="15">
        <v>294.8</v>
      </c>
      <c r="D6" s="15">
        <v>451.7</v>
      </c>
      <c r="E6" s="15">
        <v>396.4</v>
      </c>
      <c r="F6" s="15">
        <v>321.18047300000001</v>
      </c>
      <c r="G6" s="15">
        <v>265.84177599999998</v>
      </c>
      <c r="H6" s="15">
        <v>352.28558600000002</v>
      </c>
      <c r="I6" s="15">
        <v>632.32923800000003</v>
      </c>
      <c r="J6" s="15">
        <v>578.51620800000001</v>
      </c>
      <c r="K6" s="15">
        <v>527.84966099999997</v>
      </c>
      <c r="L6" s="15">
        <v>519.9</v>
      </c>
      <c r="M6" s="16">
        <v>400.4</v>
      </c>
      <c r="N6" s="15">
        <v>961.1</v>
      </c>
      <c r="O6" s="15">
        <v>1045.646285</v>
      </c>
    </row>
    <row r="7" spans="1:15" x14ac:dyDescent="0.25">
      <c r="A7" s="13" t="s">
        <v>4</v>
      </c>
      <c r="B7" s="14">
        <v>176</v>
      </c>
      <c r="C7" s="15">
        <v>230.9</v>
      </c>
      <c r="D7" s="15">
        <v>314.8</v>
      </c>
      <c r="E7" s="15">
        <v>203.2</v>
      </c>
      <c r="F7" s="15">
        <v>233.590934</v>
      </c>
      <c r="G7" s="15">
        <v>265.74421100000001</v>
      </c>
      <c r="H7" s="15">
        <v>286.81240300000002</v>
      </c>
      <c r="I7" s="15">
        <v>345.22809100000001</v>
      </c>
      <c r="J7" s="15">
        <v>320.52360299999998</v>
      </c>
      <c r="K7" s="15">
        <v>424.64728700000001</v>
      </c>
      <c r="L7" s="15">
        <v>357.8</v>
      </c>
      <c r="M7" s="16">
        <v>304.60000000000002</v>
      </c>
      <c r="N7" s="15">
        <v>393.9</v>
      </c>
      <c r="O7" s="15"/>
    </row>
    <row r="8" spans="1:15" x14ac:dyDescent="0.25">
      <c r="A8" s="17" t="s">
        <v>5</v>
      </c>
      <c r="B8" s="15">
        <v>141</v>
      </c>
      <c r="C8" s="15">
        <v>102.6</v>
      </c>
      <c r="D8" s="15">
        <v>232.1</v>
      </c>
      <c r="E8" s="15">
        <v>290.10000000000002</v>
      </c>
      <c r="F8" s="15">
        <v>249.18184500000001</v>
      </c>
      <c r="G8" s="15">
        <v>60.496482999999998</v>
      </c>
      <c r="H8" s="15"/>
      <c r="I8" s="15"/>
      <c r="J8" s="15"/>
      <c r="K8" s="15"/>
      <c r="L8" s="15"/>
      <c r="M8" s="16"/>
      <c r="N8" s="15"/>
      <c r="O8" s="15"/>
    </row>
    <row r="9" spans="1:15" x14ac:dyDescent="0.25">
      <c r="A9" s="18" t="s">
        <v>6</v>
      </c>
      <c r="B9" s="15">
        <v>159.1</v>
      </c>
      <c r="C9" s="15">
        <v>160.9</v>
      </c>
      <c r="D9" s="15">
        <v>282.10000000000002</v>
      </c>
      <c r="E9" s="15">
        <v>373.8</v>
      </c>
      <c r="F9" s="15">
        <v>340.03412800000001</v>
      </c>
      <c r="G9" s="15">
        <v>339.96581800000001</v>
      </c>
      <c r="H9" s="15">
        <v>359.378422</v>
      </c>
      <c r="I9" s="15">
        <v>488.246241</v>
      </c>
      <c r="J9" s="15">
        <v>362.50336800000002</v>
      </c>
      <c r="K9" s="15">
        <v>442.97844300000003</v>
      </c>
      <c r="L9" s="15">
        <v>554.29999999999995</v>
      </c>
      <c r="M9" s="16">
        <v>521.20000000000005</v>
      </c>
      <c r="N9" s="15">
        <v>844.6</v>
      </c>
      <c r="O9" s="15">
        <v>747.06336299999998</v>
      </c>
    </row>
    <row r="10" spans="1:15" x14ac:dyDescent="0.25">
      <c r="A10" s="18" t="s">
        <v>7</v>
      </c>
      <c r="B10" s="15">
        <v>78.7</v>
      </c>
      <c r="C10" s="15">
        <v>78.7</v>
      </c>
      <c r="D10" s="15">
        <v>191.5</v>
      </c>
      <c r="E10" s="15">
        <v>92.2</v>
      </c>
      <c r="F10" s="15"/>
      <c r="G10" s="15"/>
      <c r="H10" s="15"/>
      <c r="I10" s="15"/>
      <c r="J10" s="15"/>
      <c r="K10" s="15"/>
      <c r="L10" s="15"/>
      <c r="M10" s="16"/>
      <c r="N10" s="15"/>
      <c r="O10" s="15"/>
    </row>
    <row r="11" spans="1:15" x14ac:dyDescent="0.25">
      <c r="A11" s="18" t="s">
        <v>8</v>
      </c>
      <c r="B11" s="15">
        <v>71.3</v>
      </c>
      <c r="C11" s="15">
        <v>72</v>
      </c>
      <c r="D11" s="15">
        <v>196.2</v>
      </c>
      <c r="E11" s="15">
        <v>188.6</v>
      </c>
      <c r="F11" s="15">
        <v>88.363157999999999</v>
      </c>
      <c r="G11" s="15">
        <v>79.503934999999998</v>
      </c>
      <c r="H11" s="15">
        <v>69.512724000000006</v>
      </c>
      <c r="I11" s="15"/>
      <c r="J11" s="15"/>
      <c r="K11" s="15"/>
      <c r="L11" s="15"/>
      <c r="M11" s="16"/>
      <c r="N11" s="15"/>
      <c r="O11" s="15"/>
    </row>
    <row r="12" spans="1:15" x14ac:dyDescent="0.25">
      <c r="A12" s="19" t="s">
        <v>9</v>
      </c>
      <c r="B12" s="20"/>
      <c r="C12" s="20"/>
      <c r="D12" s="20"/>
      <c r="E12" s="20"/>
      <c r="F12" s="20">
        <v>34.377122</v>
      </c>
      <c r="G12" s="20"/>
      <c r="H12" s="20"/>
      <c r="I12" s="20"/>
      <c r="J12" s="20"/>
      <c r="K12" s="20"/>
      <c r="L12" s="20"/>
      <c r="M12" s="21"/>
      <c r="N12" s="20"/>
      <c r="O12" s="20"/>
    </row>
    <row r="13" spans="1:15" x14ac:dyDescent="0.25">
      <c r="A13" s="22" t="s">
        <v>10</v>
      </c>
      <c r="B13" s="30">
        <f t="shared" ref="B13:O13" si="0">SUM(B6:B12)</f>
        <v>886.4</v>
      </c>
      <c r="C13" s="30">
        <f t="shared" si="0"/>
        <v>939.90000000000009</v>
      </c>
      <c r="D13" s="30">
        <f t="shared" si="0"/>
        <v>1668.4</v>
      </c>
      <c r="E13" s="30">
        <f t="shared" si="0"/>
        <v>1544.3</v>
      </c>
      <c r="F13" s="30">
        <f t="shared" si="0"/>
        <v>1266.7276600000002</v>
      </c>
      <c r="G13" s="30">
        <f t="shared" si="0"/>
        <v>1011.5522229999999</v>
      </c>
      <c r="H13" s="30">
        <f t="shared" si="0"/>
        <v>1067.989135</v>
      </c>
      <c r="I13" s="30">
        <f t="shared" si="0"/>
        <v>1465.80357</v>
      </c>
      <c r="J13" s="30">
        <f t="shared" si="0"/>
        <v>1261.543179</v>
      </c>
      <c r="K13" s="30">
        <f t="shared" si="0"/>
        <v>1395.4753909999999</v>
      </c>
      <c r="L13" s="30">
        <f t="shared" si="0"/>
        <v>1432</v>
      </c>
      <c r="M13" s="30">
        <f t="shared" si="0"/>
        <v>1226.2</v>
      </c>
      <c r="N13" s="30">
        <f>SUM(N6:N12)</f>
        <v>2199.6</v>
      </c>
      <c r="O13" s="30">
        <f t="shared" si="0"/>
        <v>1792.709648</v>
      </c>
    </row>
    <row r="14" spans="1:15" x14ac:dyDescent="0.25">
      <c r="A14" s="24" t="s">
        <v>11</v>
      </c>
    </row>
    <row r="15" spans="1:15" x14ac:dyDescent="0.25">
      <c r="A15" s="18" t="s">
        <v>12</v>
      </c>
      <c r="B15" s="15"/>
      <c r="C15" s="15"/>
      <c r="D15" s="15"/>
      <c r="E15" s="15"/>
      <c r="F15" s="15"/>
      <c r="G15" s="15">
        <v>15.7</v>
      </c>
      <c r="H15" s="15">
        <v>39.780110999999998</v>
      </c>
      <c r="I15" s="15">
        <f>204.340279-67.990751</f>
        <v>136.34952800000002</v>
      </c>
      <c r="J15" s="15">
        <v>200.108664</v>
      </c>
      <c r="K15" s="15">
        <f>123.772356+10.004752</f>
        <v>133.777108</v>
      </c>
      <c r="L15" s="15">
        <v>155.19999999999999</v>
      </c>
      <c r="M15" s="16">
        <v>129.80000000000001</v>
      </c>
      <c r="N15" s="25">
        <v>299.7</v>
      </c>
      <c r="O15" s="25">
        <f>99.561671+97.673214+167.587707+88.868832</f>
        <v>453.69142399999998</v>
      </c>
    </row>
    <row r="16" spans="1:15" x14ac:dyDescent="0.25">
      <c r="A16" s="18" t="s">
        <v>272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25"/>
      <c r="O16" s="25">
        <v>4.8394000000000004</v>
      </c>
    </row>
    <row r="17" spans="1:15" x14ac:dyDescent="0.25">
      <c r="A17" s="18" t="s">
        <v>13</v>
      </c>
      <c r="B17" s="15">
        <v>52.6</v>
      </c>
      <c r="C17" s="15">
        <v>62.5</v>
      </c>
      <c r="D17" s="15">
        <v>151.9</v>
      </c>
      <c r="E17" s="15">
        <v>85</v>
      </c>
      <c r="F17" s="15">
        <v>26.7</v>
      </c>
      <c r="G17" s="15">
        <v>12.1</v>
      </c>
      <c r="H17" s="15">
        <v>13.464821000000001</v>
      </c>
      <c r="I17" s="15">
        <v>32.806265000000003</v>
      </c>
      <c r="J17" s="15">
        <v>18.736062</v>
      </c>
      <c r="K17" s="15">
        <v>17.877034999999999</v>
      </c>
      <c r="L17" s="15">
        <v>16.600000000000001</v>
      </c>
      <c r="M17" s="16">
        <v>13.8</v>
      </c>
      <c r="N17" s="25">
        <v>0</v>
      </c>
      <c r="O17" s="25"/>
    </row>
    <row r="18" spans="1:15" x14ac:dyDescent="0.25">
      <c r="A18" s="19" t="s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25"/>
      <c r="O18" s="25"/>
    </row>
    <row r="19" spans="1:15" x14ac:dyDescent="0.25">
      <c r="A19" s="22" t="s">
        <v>15</v>
      </c>
      <c r="B19" s="23">
        <f t="shared" ref="B19:K19" ca="1" si="1">SUM(B15:B328)</f>
        <v>140.19999999999999</v>
      </c>
      <c r="C19" s="23">
        <f t="shared" ca="1" si="1"/>
        <v>176.1</v>
      </c>
      <c r="D19" s="23">
        <f t="shared" ca="1" si="1"/>
        <v>291.20000000000005</v>
      </c>
      <c r="E19" s="23">
        <f t="shared" ca="1" si="1"/>
        <v>202.2</v>
      </c>
      <c r="F19" s="23">
        <f t="shared" ca="1" si="1"/>
        <v>151.29999999999998</v>
      </c>
      <c r="G19" s="23">
        <f t="shared" ca="1" si="1"/>
        <v>149.30000000000001</v>
      </c>
      <c r="H19" s="23">
        <f t="shared" ca="1" si="1"/>
        <v>179.12715800000001</v>
      </c>
      <c r="I19" s="23">
        <f t="shared" ca="1" si="1"/>
        <v>306.95161800000005</v>
      </c>
      <c r="J19" s="23">
        <f t="shared" ca="1" si="1"/>
        <v>333.03003899999999</v>
      </c>
      <c r="K19" s="23">
        <f t="shared" ca="1" si="1"/>
        <v>274.07728600000002</v>
      </c>
      <c r="L19" s="23">
        <f t="shared" ref="L19:N19" si="2">SUM(L15:L18)</f>
        <v>171.79999999999998</v>
      </c>
      <c r="M19" s="23">
        <f t="shared" si="2"/>
        <v>143.60000000000002</v>
      </c>
      <c r="N19" s="23">
        <f t="shared" si="2"/>
        <v>299.7</v>
      </c>
      <c r="O19" s="23">
        <f>SUM(O15:O18)</f>
        <v>458.530824</v>
      </c>
    </row>
    <row r="20" spans="1:15" ht="15.75" thickBot="1" x14ac:dyDescent="0.3">
      <c r="A20" s="26" t="s">
        <v>16</v>
      </c>
      <c r="B20" s="27">
        <f ca="1">B13+B19</f>
        <v>1026.5999999999999</v>
      </c>
      <c r="C20" s="27">
        <f t="shared" ref="C20:M20" ca="1" si="3">C13+C19</f>
        <v>1116</v>
      </c>
      <c r="D20" s="27">
        <f t="shared" ca="1" si="3"/>
        <v>1959.6000000000001</v>
      </c>
      <c r="E20" s="27">
        <f t="shared" ca="1" si="3"/>
        <v>1746.5</v>
      </c>
      <c r="F20" s="27">
        <f t="shared" ca="1" si="3"/>
        <v>1418.0276600000002</v>
      </c>
      <c r="G20" s="27">
        <f t="shared" ca="1" si="3"/>
        <v>1160.8522229999999</v>
      </c>
      <c r="H20" s="27">
        <f t="shared" ca="1" si="3"/>
        <v>1247.116293</v>
      </c>
      <c r="I20" s="27">
        <f t="shared" ca="1" si="3"/>
        <v>1772.7551880000001</v>
      </c>
      <c r="J20" s="27">
        <f t="shared" ca="1" si="3"/>
        <v>1594.573218</v>
      </c>
      <c r="K20" s="27">
        <f t="shared" ca="1" si="3"/>
        <v>1669.5526769999999</v>
      </c>
      <c r="L20" s="27">
        <f t="shared" si="3"/>
        <v>1603.8</v>
      </c>
      <c r="M20" s="27">
        <f t="shared" si="3"/>
        <v>1369.8000000000002</v>
      </c>
      <c r="N20" s="27">
        <f>N13+N19</f>
        <v>2499.2999999999997</v>
      </c>
      <c r="O20" s="27">
        <f>O13+O19</f>
        <v>2251.240472</v>
      </c>
    </row>
    <row r="21" spans="1:15" ht="15.75" thickBot="1" x14ac:dyDescent="0.3"/>
    <row r="22" spans="1:15" ht="15.75" thickBot="1" x14ac:dyDescent="0.3">
      <c r="A22" s="31" t="s">
        <v>17</v>
      </c>
    </row>
    <row r="23" spans="1:15" ht="15.75" thickBot="1" x14ac:dyDescent="0.3">
      <c r="A23" s="32" t="s">
        <v>18</v>
      </c>
      <c r="B23" s="76">
        <v>2006</v>
      </c>
      <c r="C23" s="77">
        <v>2007</v>
      </c>
      <c r="D23" s="78">
        <v>2008</v>
      </c>
      <c r="E23" s="77">
        <v>2009</v>
      </c>
      <c r="F23" s="78">
        <v>2010</v>
      </c>
      <c r="G23" s="77">
        <v>2011</v>
      </c>
      <c r="H23" s="78">
        <v>2012</v>
      </c>
      <c r="I23" s="77">
        <v>2013</v>
      </c>
      <c r="J23" s="78">
        <v>2014</v>
      </c>
      <c r="K23" s="77">
        <v>2015</v>
      </c>
      <c r="L23" s="78">
        <v>2016</v>
      </c>
      <c r="M23" s="77">
        <v>2017</v>
      </c>
      <c r="N23" s="77">
        <v>2018</v>
      </c>
      <c r="O23" s="77">
        <v>2019</v>
      </c>
    </row>
    <row r="24" spans="1:15" x14ac:dyDescent="0.25">
      <c r="A24" s="33" t="s">
        <v>2</v>
      </c>
    </row>
    <row r="25" spans="1:15" x14ac:dyDescent="0.25">
      <c r="A25" s="34" t="s">
        <v>19</v>
      </c>
      <c r="B25" s="79"/>
      <c r="C25" s="79"/>
      <c r="D25" s="79"/>
      <c r="E25" s="79">
        <v>2.12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spans="1:15" x14ac:dyDescent="0.25">
      <c r="A26" s="34" t="s">
        <v>20</v>
      </c>
      <c r="B26" s="79"/>
      <c r="C26" s="79"/>
      <c r="D26" s="79"/>
      <c r="E26" s="79">
        <v>26.04</v>
      </c>
      <c r="F26" s="79">
        <v>42.805646000000003</v>
      </c>
      <c r="G26" s="79">
        <v>0.149757</v>
      </c>
      <c r="H26" s="79"/>
      <c r="I26" s="79"/>
      <c r="J26" s="79"/>
      <c r="K26" s="79"/>
      <c r="L26" s="79"/>
      <c r="M26" s="79"/>
      <c r="N26" s="79"/>
      <c r="O26" s="79"/>
    </row>
    <row r="27" spans="1:15" x14ac:dyDescent="0.25">
      <c r="A27" s="34" t="s">
        <v>21</v>
      </c>
      <c r="B27" s="79"/>
      <c r="C27" s="79"/>
      <c r="D27" s="79"/>
      <c r="E27" s="79">
        <v>51.04</v>
      </c>
      <c r="F27" s="79">
        <v>29.267078000000001</v>
      </c>
      <c r="G27" s="79">
        <v>1.956882</v>
      </c>
      <c r="H27" s="79"/>
      <c r="I27" s="79"/>
      <c r="J27" s="79"/>
      <c r="K27" s="79"/>
      <c r="L27" s="79"/>
      <c r="M27" s="79"/>
      <c r="N27" s="79"/>
      <c r="O27" s="79"/>
    </row>
    <row r="28" spans="1:15" x14ac:dyDescent="0.25">
      <c r="A28" s="34" t="s">
        <v>22</v>
      </c>
      <c r="B28" s="79"/>
      <c r="C28" s="79"/>
      <c r="D28" s="79"/>
      <c r="E28" s="79">
        <v>45.46</v>
      </c>
      <c r="F28" s="79">
        <v>27.853605999999999</v>
      </c>
      <c r="G28" s="79">
        <v>2.08148</v>
      </c>
      <c r="H28" s="79"/>
      <c r="I28" s="79"/>
      <c r="J28" s="79"/>
      <c r="K28" s="79"/>
      <c r="L28" s="79"/>
      <c r="M28" s="79"/>
      <c r="N28" s="79"/>
      <c r="O28" s="79"/>
    </row>
    <row r="29" spans="1:15" x14ac:dyDescent="0.25">
      <c r="A29" s="34" t="s">
        <v>23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80">
        <v>13.9</v>
      </c>
      <c r="O29" s="80"/>
    </row>
    <row r="30" spans="1:15" x14ac:dyDescent="0.25">
      <c r="A30" s="35" t="s">
        <v>24</v>
      </c>
      <c r="B30" s="80"/>
      <c r="C30" s="80"/>
      <c r="D30" s="80"/>
      <c r="E30" s="80">
        <v>117.907</v>
      </c>
      <c r="F30" s="80">
        <v>116.989734</v>
      </c>
      <c r="G30" s="80">
        <v>96.566621999999995</v>
      </c>
      <c r="H30" s="80">
        <f>80.364557+14.637556</f>
        <v>95.002113000000008</v>
      </c>
      <c r="I30" s="80">
        <v>73.613609999999994</v>
      </c>
      <c r="J30" s="80">
        <v>67.600720999999993</v>
      </c>
      <c r="K30" s="80">
        <f>49.9+11.4</f>
        <v>61.3</v>
      </c>
      <c r="L30" s="80">
        <v>57.9</v>
      </c>
      <c r="M30" s="80">
        <v>43.7</v>
      </c>
      <c r="N30" s="80">
        <v>49.3</v>
      </c>
      <c r="O30" s="80">
        <v>23.750330999999999</v>
      </c>
    </row>
    <row r="31" spans="1:15" x14ac:dyDescent="0.25">
      <c r="A31" s="36" t="s">
        <v>10</v>
      </c>
      <c r="B31" s="83">
        <f>SUM(B25:B30)</f>
        <v>0</v>
      </c>
      <c r="C31" s="83">
        <f t="shared" ref="C31:L31" si="4">SUM(C25:C30)</f>
        <v>0</v>
      </c>
      <c r="D31" s="83">
        <f t="shared" si="4"/>
        <v>0</v>
      </c>
      <c r="E31" s="83">
        <f t="shared" si="4"/>
        <v>242.56700000000001</v>
      </c>
      <c r="F31" s="83">
        <f t="shared" si="4"/>
        <v>216.91606400000001</v>
      </c>
      <c r="G31" s="83">
        <f t="shared" si="4"/>
        <v>100.754741</v>
      </c>
      <c r="H31" s="83">
        <f t="shared" si="4"/>
        <v>95.002113000000008</v>
      </c>
      <c r="I31" s="83">
        <f t="shared" si="4"/>
        <v>73.613609999999994</v>
      </c>
      <c r="J31" s="83">
        <f t="shared" si="4"/>
        <v>67.600720999999993</v>
      </c>
      <c r="K31" s="83">
        <f t="shared" si="4"/>
        <v>61.3</v>
      </c>
      <c r="L31" s="83">
        <f t="shared" si="4"/>
        <v>57.9</v>
      </c>
      <c r="M31" s="83">
        <f>SUM(M25:M30)</f>
        <v>43.7</v>
      </c>
      <c r="N31" s="83">
        <f>SUM(N25:N30)</f>
        <v>63.199999999999996</v>
      </c>
      <c r="O31" s="83">
        <f>SUM(O25:O30)</f>
        <v>23.750330999999999</v>
      </c>
    </row>
    <row r="32" spans="1:15" x14ac:dyDescent="0.25">
      <c r="A32" s="37" t="s">
        <v>25</v>
      </c>
    </row>
    <row r="33" spans="1:15" x14ac:dyDescent="0.25">
      <c r="A33" s="34" t="s">
        <v>273</v>
      </c>
      <c r="B33" s="79"/>
      <c r="C33" s="79"/>
      <c r="D33" s="79"/>
      <c r="E33" s="79">
        <v>3.35</v>
      </c>
      <c r="F33" s="79">
        <v>7.7681969999999998</v>
      </c>
      <c r="G33" s="79">
        <v>6.3173909999999998</v>
      </c>
      <c r="H33" s="79">
        <v>4.0300710000000004</v>
      </c>
      <c r="I33" s="79">
        <v>4.5423070000000001</v>
      </c>
      <c r="J33" s="79">
        <v>3.6401829999999999</v>
      </c>
      <c r="K33" s="79">
        <v>4.0957619999999997</v>
      </c>
      <c r="L33" s="79">
        <v>4.5999999999999996</v>
      </c>
      <c r="M33" s="79">
        <v>3.7</v>
      </c>
      <c r="N33" s="79">
        <v>6.8</v>
      </c>
      <c r="O33" s="79">
        <v>4.8346359999999997</v>
      </c>
    </row>
    <row r="34" spans="1:15" x14ac:dyDescent="0.25">
      <c r="A34" s="34" t="s">
        <v>26</v>
      </c>
      <c r="B34" s="79"/>
      <c r="C34" s="79"/>
      <c r="D34" s="79"/>
      <c r="E34" s="79">
        <v>0.88</v>
      </c>
      <c r="F34" s="79">
        <v>61.751736999999999</v>
      </c>
      <c r="G34" s="79">
        <v>2.103418</v>
      </c>
      <c r="H34" s="79">
        <f>3.211946</f>
        <v>3.2119460000000002</v>
      </c>
      <c r="I34" s="79">
        <v>1.8478209999999999</v>
      </c>
      <c r="J34" s="79">
        <v>3.6004119999999999</v>
      </c>
      <c r="K34" s="79">
        <v>1.964248</v>
      </c>
      <c r="L34" s="79">
        <v>1.7</v>
      </c>
      <c r="M34" s="79">
        <v>1.2</v>
      </c>
      <c r="N34" s="79">
        <v>1.9</v>
      </c>
      <c r="O34" s="79">
        <v>2.7825700000000002</v>
      </c>
    </row>
    <row r="35" spans="1:15" x14ac:dyDescent="0.25">
      <c r="A35" s="34" t="s">
        <v>27</v>
      </c>
      <c r="B35" s="79"/>
      <c r="C35" s="79"/>
      <c r="D35" s="79"/>
      <c r="E35" s="79"/>
      <c r="F35" s="79"/>
      <c r="G35" s="79"/>
      <c r="H35" s="79"/>
      <c r="I35" s="79">
        <v>10.01088</v>
      </c>
      <c r="J35" s="79">
        <v>17.793301</v>
      </c>
      <c r="K35" s="79">
        <v>0.95255699999999999</v>
      </c>
      <c r="L35" s="79"/>
      <c r="M35" s="79"/>
      <c r="N35" s="79"/>
      <c r="O35" s="79"/>
    </row>
    <row r="36" spans="1:15" x14ac:dyDescent="0.25">
      <c r="A36" s="34" t="s">
        <v>28</v>
      </c>
      <c r="B36" s="79"/>
      <c r="C36" s="79"/>
      <c r="D36" s="79"/>
      <c r="E36" s="79"/>
      <c r="F36" s="79"/>
      <c r="G36" s="79"/>
      <c r="H36" s="79"/>
      <c r="I36" s="79"/>
      <c r="J36" s="79">
        <f>24.864028</f>
        <v>24.864028000000001</v>
      </c>
      <c r="K36" s="79">
        <f>32.39534</f>
        <v>32.395339999999997</v>
      </c>
      <c r="L36" s="79">
        <v>30.2</v>
      </c>
      <c r="M36" s="79">
        <v>42</v>
      </c>
      <c r="N36" s="79">
        <v>58.4</v>
      </c>
      <c r="O36" s="79">
        <v>8.2259200000000003</v>
      </c>
    </row>
    <row r="37" spans="1:15" x14ac:dyDescent="0.25">
      <c r="A37" s="34" t="s">
        <v>29</v>
      </c>
      <c r="B37" s="79"/>
      <c r="C37" s="79"/>
      <c r="D37" s="79"/>
      <c r="E37" s="79">
        <v>12.916</v>
      </c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1:15" x14ac:dyDescent="0.25">
      <c r="A38" s="34" t="s">
        <v>30</v>
      </c>
      <c r="B38" s="79"/>
      <c r="C38" s="79"/>
      <c r="D38" s="79"/>
      <c r="E38" s="79">
        <v>20.652999999999999</v>
      </c>
      <c r="F38" s="79"/>
      <c r="G38" s="79"/>
      <c r="H38" s="79"/>
      <c r="I38" s="79"/>
      <c r="J38" s="79"/>
      <c r="K38" s="79"/>
      <c r="L38" s="79"/>
      <c r="M38" s="82"/>
      <c r="N38" s="79"/>
      <c r="O38" s="79"/>
    </row>
    <row r="39" spans="1:15" x14ac:dyDescent="0.25">
      <c r="A39" s="34" t="s">
        <v>31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82">
        <v>30.9</v>
      </c>
      <c r="N39" s="79">
        <v>31.2</v>
      </c>
      <c r="O39" s="79">
        <v>14.721374000000001</v>
      </c>
    </row>
    <row r="40" spans="1:15" x14ac:dyDescent="0.25">
      <c r="A40" s="34" t="s">
        <v>32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82"/>
      <c r="N40" s="79">
        <v>47.1</v>
      </c>
      <c r="O40" s="79">
        <v>38.128785000000001</v>
      </c>
    </row>
    <row r="41" spans="1:15" x14ac:dyDescent="0.25">
      <c r="A41" s="35" t="s">
        <v>274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82"/>
      <c r="N41" s="79"/>
      <c r="O41" s="79">
        <v>1.6099570000000001</v>
      </c>
    </row>
    <row r="42" spans="1:15" x14ac:dyDescent="0.25">
      <c r="A42" s="36" t="s">
        <v>33</v>
      </c>
      <c r="B42" s="83">
        <f>SUM(B33:B40)</f>
        <v>0</v>
      </c>
      <c r="C42" s="83">
        <f t="shared" ref="C42:M42" si="5">SUM(C33:C40)</f>
        <v>0</v>
      </c>
      <c r="D42" s="83">
        <f t="shared" si="5"/>
        <v>0</v>
      </c>
      <c r="E42" s="83">
        <f t="shared" si="5"/>
        <v>37.798999999999999</v>
      </c>
      <c r="F42" s="83">
        <f t="shared" si="5"/>
        <v>69.519933999999992</v>
      </c>
      <c r="G42" s="83">
        <f t="shared" si="5"/>
        <v>8.4208090000000002</v>
      </c>
      <c r="H42" s="83">
        <f t="shared" si="5"/>
        <v>7.2420170000000006</v>
      </c>
      <c r="I42" s="83">
        <f t="shared" si="5"/>
        <v>16.401008000000001</v>
      </c>
      <c r="J42" s="83">
        <f t="shared" si="5"/>
        <v>49.897924000000003</v>
      </c>
      <c r="K42" s="83">
        <f t="shared" si="5"/>
        <v>39.407906999999994</v>
      </c>
      <c r="L42" s="83">
        <f t="shared" si="5"/>
        <v>36.5</v>
      </c>
      <c r="M42" s="83">
        <f t="shared" si="5"/>
        <v>77.8</v>
      </c>
      <c r="N42" s="83">
        <f>SUM(N33:N40)</f>
        <v>145.4</v>
      </c>
      <c r="O42" s="83">
        <f>SUM(O33:O41)</f>
        <v>70.303241999999997</v>
      </c>
    </row>
    <row r="43" spans="1:15" x14ac:dyDescent="0.25">
      <c r="A43" s="38" t="s">
        <v>11</v>
      </c>
    </row>
    <row r="44" spans="1:15" x14ac:dyDescent="0.25">
      <c r="A44" s="34" t="s">
        <v>297</v>
      </c>
      <c r="B44" s="79"/>
      <c r="C44" s="79"/>
      <c r="D44" s="79"/>
      <c r="E44" s="79">
        <v>34.5</v>
      </c>
      <c r="F44" s="79">
        <v>40.523226999999999</v>
      </c>
      <c r="G44" s="79">
        <f>38.902169+0.431171</f>
        <v>39.33334</v>
      </c>
      <c r="H44" s="79">
        <f>30.889173+1.802827</f>
        <v>32.692</v>
      </c>
      <c r="I44" s="79">
        <f>30.167115+0.379499</f>
        <v>30.546613999999998</v>
      </c>
      <c r="J44" s="79">
        <v>32.181659000000003</v>
      </c>
      <c r="K44" s="79">
        <v>70.345072000000002</v>
      </c>
      <c r="L44" s="79">
        <f>44.7+3.3+0.9</f>
        <v>48.9</v>
      </c>
      <c r="M44" s="79">
        <v>45.4</v>
      </c>
      <c r="N44" s="84">
        <v>26.8</v>
      </c>
      <c r="O44" s="84">
        <v>69.385975999999999</v>
      </c>
    </row>
    <row r="45" spans="1:15" x14ac:dyDescent="0.25">
      <c r="A45" s="35" t="s">
        <v>34</v>
      </c>
      <c r="B45" s="80"/>
      <c r="C45" s="80"/>
      <c r="D45" s="80"/>
      <c r="E45" s="80">
        <v>1.84</v>
      </c>
      <c r="F45" s="80">
        <v>2.1344289999999999</v>
      </c>
      <c r="G45" s="80">
        <v>2.4592969999999998</v>
      </c>
      <c r="H45" s="80">
        <v>2.0711339999999998</v>
      </c>
      <c r="I45" s="80">
        <v>0.56133500000000003</v>
      </c>
      <c r="J45" s="80">
        <v>1.682534</v>
      </c>
      <c r="K45" s="80"/>
      <c r="L45" s="80">
        <v>2.9</v>
      </c>
      <c r="M45" s="80"/>
      <c r="N45" s="80"/>
      <c r="O45" s="80"/>
    </row>
    <row r="46" spans="1:15" x14ac:dyDescent="0.25">
      <c r="A46" s="36" t="s">
        <v>15</v>
      </c>
      <c r="B46" s="81">
        <f>SUM(B44:B45)</f>
        <v>0</v>
      </c>
      <c r="C46" s="81">
        <f t="shared" ref="C46:O46" si="6">SUM(C44:C45)</f>
        <v>0</v>
      </c>
      <c r="D46" s="81">
        <f t="shared" si="6"/>
        <v>0</v>
      </c>
      <c r="E46" s="81">
        <f t="shared" si="6"/>
        <v>36.340000000000003</v>
      </c>
      <c r="F46" s="81">
        <f t="shared" si="6"/>
        <v>42.657655999999996</v>
      </c>
      <c r="G46" s="81">
        <f t="shared" si="6"/>
        <v>41.792636999999999</v>
      </c>
      <c r="H46" s="81">
        <f t="shared" si="6"/>
        <v>34.763134000000001</v>
      </c>
      <c r="I46" s="81">
        <f t="shared" si="6"/>
        <v>31.107948999999998</v>
      </c>
      <c r="J46" s="81">
        <f t="shared" si="6"/>
        <v>33.864193</v>
      </c>
      <c r="K46" s="81">
        <f t="shared" si="6"/>
        <v>70.345072000000002</v>
      </c>
      <c r="L46" s="81">
        <f t="shared" si="6"/>
        <v>51.8</v>
      </c>
      <c r="M46" s="81">
        <f t="shared" si="6"/>
        <v>45.4</v>
      </c>
      <c r="N46" s="81">
        <f>SUM(N44:N45)</f>
        <v>26.8</v>
      </c>
      <c r="O46" s="81">
        <f t="shared" si="6"/>
        <v>69.385975999999999</v>
      </c>
    </row>
    <row r="47" spans="1:15" x14ac:dyDescent="0.25">
      <c r="A47" s="39" t="s">
        <v>18</v>
      </c>
      <c r="B47" s="85">
        <v>590.5</v>
      </c>
      <c r="C47" s="85">
        <v>600.6</v>
      </c>
      <c r="D47" s="85">
        <v>567.9</v>
      </c>
      <c r="E47" s="85">
        <f t="shared" ref="E47:L47" si="7">SUM(E33:E38,E25:E30,E44:E45)</f>
        <v>316.70599999999996</v>
      </c>
      <c r="F47" s="85">
        <f t="shared" si="7"/>
        <v>329.09365400000002</v>
      </c>
      <c r="G47" s="85">
        <f t="shared" si="7"/>
        <v>150.96818699999997</v>
      </c>
      <c r="H47" s="85">
        <f t="shared" si="7"/>
        <v>137.00726400000002</v>
      </c>
      <c r="I47" s="85">
        <f t="shared" si="7"/>
        <v>121.12256699999999</v>
      </c>
      <c r="J47" s="85">
        <f t="shared" si="7"/>
        <v>151.36283800000001</v>
      </c>
      <c r="K47" s="85">
        <f t="shared" si="7"/>
        <v>171.05297899999999</v>
      </c>
      <c r="L47" s="85">
        <f t="shared" si="7"/>
        <v>146.20000000000002</v>
      </c>
      <c r="M47" s="85">
        <f>SUM(M33:M39,M25:M30,M44:M45)</f>
        <v>166.9</v>
      </c>
      <c r="N47" s="85">
        <f>SUM(N33:N40,N25:N30,N44:N45)</f>
        <v>235.40000000000003</v>
      </c>
      <c r="O47" s="85">
        <f>SUM(O33:O41,O25:O30,O44:O45)</f>
        <v>163.439549</v>
      </c>
    </row>
    <row r="48" spans="1:15" x14ac:dyDescent="0.25">
      <c r="A48" s="28"/>
    </row>
    <row r="49" spans="1:15" ht="15.75" thickBot="1" x14ac:dyDescent="0.3">
      <c r="A49" s="39" t="s">
        <v>35</v>
      </c>
      <c r="B49" s="85">
        <v>10.199999999999999</v>
      </c>
      <c r="C49" s="85">
        <v>9.6</v>
      </c>
      <c r="D49" s="85">
        <v>14.2</v>
      </c>
      <c r="E49" s="85">
        <f>260.4*6%</f>
        <v>15.623999999999999</v>
      </c>
      <c r="F49" s="85">
        <v>17</v>
      </c>
      <c r="G49" s="85">
        <v>19.584</v>
      </c>
      <c r="H49" s="85">
        <v>15.520985550000001</v>
      </c>
      <c r="I49" s="85">
        <v>22.855937000000001</v>
      </c>
      <c r="J49" s="85">
        <v>16.022589239999999</v>
      </c>
      <c r="K49" s="85">
        <f>319.4*0.07</f>
        <v>22.358000000000001</v>
      </c>
      <c r="L49" s="85">
        <v>47.43</v>
      </c>
      <c r="M49" s="85">
        <v>47.5</v>
      </c>
      <c r="N49" s="85">
        <v>6.4</v>
      </c>
      <c r="O49" s="85"/>
    </row>
    <row r="50" spans="1:15" ht="15.75" thickBot="1" x14ac:dyDescent="0.3">
      <c r="A50" s="40" t="s">
        <v>36</v>
      </c>
      <c r="B50" s="27">
        <f>B47+B49</f>
        <v>600.70000000000005</v>
      </c>
      <c r="C50" s="27">
        <f t="shared" ref="C50:L50" si="8">C47+C49</f>
        <v>610.20000000000005</v>
      </c>
      <c r="D50" s="27">
        <f t="shared" si="8"/>
        <v>582.1</v>
      </c>
      <c r="E50" s="27">
        <f t="shared" si="8"/>
        <v>332.33</v>
      </c>
      <c r="F50" s="27">
        <f t="shared" si="8"/>
        <v>346.09365400000002</v>
      </c>
      <c r="G50" s="27">
        <f t="shared" si="8"/>
        <v>170.55218699999998</v>
      </c>
      <c r="H50" s="27">
        <f t="shared" si="8"/>
        <v>152.52824955000003</v>
      </c>
      <c r="I50" s="27">
        <f t="shared" si="8"/>
        <v>143.97850399999999</v>
      </c>
      <c r="J50" s="27">
        <f t="shared" si="8"/>
        <v>167.38542724000001</v>
      </c>
      <c r="K50" s="27">
        <f t="shared" si="8"/>
        <v>193.410979</v>
      </c>
      <c r="L50" s="27">
        <f t="shared" si="8"/>
        <v>193.63000000000002</v>
      </c>
      <c r="M50" s="27">
        <f>M47+M49</f>
        <v>214.4</v>
      </c>
      <c r="N50" s="27">
        <f>N47+N49</f>
        <v>241.80000000000004</v>
      </c>
      <c r="O50" s="27">
        <f>O47+O49</f>
        <v>163.439549</v>
      </c>
    </row>
    <row r="51" spans="1:15" ht="16.5" thickTop="1" thickBot="1" x14ac:dyDescent="0.3">
      <c r="A51" s="28"/>
    </row>
    <row r="52" spans="1:15" ht="15.75" thickBot="1" x14ac:dyDescent="0.3">
      <c r="A52" s="41" t="s">
        <v>37</v>
      </c>
      <c r="B52" s="86">
        <f t="shared" ref="B52:O52" ca="1" si="9">B50+B20</f>
        <v>1627.3</v>
      </c>
      <c r="C52" s="86">
        <f t="shared" ca="1" si="9"/>
        <v>1726.2</v>
      </c>
      <c r="D52" s="86">
        <f t="shared" ca="1" si="9"/>
        <v>2541.7000000000003</v>
      </c>
      <c r="E52" s="86">
        <f t="shared" ca="1" si="9"/>
        <v>2078.83</v>
      </c>
      <c r="F52" s="86">
        <f t="shared" ca="1" si="9"/>
        <v>1764.1213140000002</v>
      </c>
      <c r="G52" s="86">
        <f t="shared" ca="1" si="9"/>
        <v>1331.4044099999999</v>
      </c>
      <c r="H52" s="86">
        <f t="shared" ca="1" si="9"/>
        <v>1399.6445425500001</v>
      </c>
      <c r="I52" s="86">
        <f t="shared" ca="1" si="9"/>
        <v>1916.733692</v>
      </c>
      <c r="J52" s="86">
        <f t="shared" ca="1" si="9"/>
        <v>1761.9586452399999</v>
      </c>
      <c r="K52" s="86">
        <f t="shared" ca="1" si="9"/>
        <v>1862.9636559999999</v>
      </c>
      <c r="L52" s="86">
        <f t="shared" si="9"/>
        <v>1797.43</v>
      </c>
      <c r="M52" s="86">
        <f t="shared" si="9"/>
        <v>1584.2000000000003</v>
      </c>
      <c r="N52" s="86">
        <f t="shared" si="9"/>
        <v>2741.1</v>
      </c>
      <c r="O52" s="86">
        <f t="shared" si="9"/>
        <v>2414.6800210000001</v>
      </c>
    </row>
    <row r="53" spans="1:15" ht="15.75" thickBot="1" x14ac:dyDescent="0.3"/>
    <row r="54" spans="1:15" ht="15.75" thickBot="1" x14ac:dyDescent="0.3">
      <c r="A54" s="6" t="s">
        <v>38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8"/>
      <c r="N54" s="88"/>
      <c r="O54" s="88"/>
    </row>
    <row r="55" spans="1:15" ht="15.75" thickBot="1" x14ac:dyDescent="0.3">
      <c r="A55" s="42" t="s">
        <v>275</v>
      </c>
      <c r="B55" s="78">
        <v>2006</v>
      </c>
      <c r="C55" s="77">
        <v>2007</v>
      </c>
      <c r="D55" s="78">
        <v>2008</v>
      </c>
      <c r="E55" s="77">
        <v>2009</v>
      </c>
      <c r="F55" s="78">
        <v>2010</v>
      </c>
      <c r="G55" s="77">
        <v>2011</v>
      </c>
      <c r="H55" s="78">
        <v>2012</v>
      </c>
      <c r="I55" s="77">
        <v>2013</v>
      </c>
      <c r="J55" s="78">
        <v>2014</v>
      </c>
      <c r="K55" s="77">
        <v>2015</v>
      </c>
      <c r="L55" s="78">
        <v>2016</v>
      </c>
      <c r="M55" s="77">
        <v>2017</v>
      </c>
      <c r="N55" s="77">
        <v>2018</v>
      </c>
      <c r="O55" s="77">
        <v>2019</v>
      </c>
    </row>
    <row r="56" spans="1:15" x14ac:dyDescent="0.25">
      <c r="A56" s="43" t="s">
        <v>293</v>
      </c>
      <c r="B56" s="91"/>
      <c r="C56" s="91"/>
      <c r="D56" s="79">
        <f>55.7*12%</f>
        <v>6.6840000000000002</v>
      </c>
      <c r="E56" s="79">
        <v>12.1</v>
      </c>
      <c r="F56" s="79">
        <v>13.1</v>
      </c>
      <c r="G56" s="84">
        <v>18.899999999999999</v>
      </c>
      <c r="H56" s="79">
        <v>18.865599840000002</v>
      </c>
      <c r="I56" s="84">
        <v>18.527016</v>
      </c>
      <c r="J56" s="79">
        <v>16.16562648</v>
      </c>
      <c r="K56" s="84">
        <f>100*0.18</f>
        <v>18</v>
      </c>
      <c r="L56" s="79">
        <v>12.6</v>
      </c>
      <c r="M56" s="84">
        <v>12.6</v>
      </c>
      <c r="N56" s="84">
        <v>6.9</v>
      </c>
      <c r="O56" s="84"/>
    </row>
    <row r="57" spans="1:15" x14ac:dyDescent="0.25">
      <c r="A57" s="43" t="s">
        <v>303</v>
      </c>
      <c r="B57" s="84"/>
      <c r="C57" s="84"/>
      <c r="D57" s="84"/>
      <c r="E57" s="84"/>
      <c r="F57" s="84"/>
      <c r="G57" s="84"/>
      <c r="H57" s="84"/>
      <c r="I57" s="84"/>
      <c r="J57" s="79"/>
      <c r="K57" s="84"/>
      <c r="L57" s="79"/>
      <c r="M57" s="84"/>
      <c r="N57" s="84"/>
      <c r="O57" s="84">
        <v>44.054398999999997</v>
      </c>
    </row>
    <row r="58" spans="1:15" x14ac:dyDescent="0.25">
      <c r="A58" s="43" t="s">
        <v>292</v>
      </c>
      <c r="B58" s="84"/>
      <c r="C58" s="84"/>
      <c r="D58" s="84"/>
      <c r="E58" s="84"/>
      <c r="F58" s="84"/>
      <c r="G58" s="84"/>
      <c r="H58" s="84"/>
      <c r="I58" s="84"/>
      <c r="J58" s="79"/>
      <c r="K58" s="84"/>
      <c r="L58" s="79"/>
      <c r="M58" s="84"/>
      <c r="N58" s="84"/>
      <c r="O58" s="84">
        <v>40.190519000000002</v>
      </c>
    </row>
    <row r="59" spans="1:15" x14ac:dyDescent="0.25">
      <c r="A59" s="43" t="s">
        <v>291</v>
      </c>
      <c r="B59" s="84"/>
      <c r="C59" s="84"/>
      <c r="D59" s="84"/>
      <c r="E59" s="84"/>
      <c r="F59" s="84"/>
      <c r="G59" s="84"/>
      <c r="H59" s="84"/>
      <c r="I59" s="84"/>
      <c r="J59" s="79"/>
      <c r="K59" s="84"/>
      <c r="L59" s="79"/>
      <c r="M59" s="84"/>
      <c r="N59" s="84"/>
      <c r="O59" s="84">
        <v>12.660500000000001</v>
      </c>
    </row>
    <row r="60" spans="1:15" x14ac:dyDescent="0.25">
      <c r="A60" s="44" t="s">
        <v>41</v>
      </c>
    </row>
    <row r="61" spans="1:15" x14ac:dyDescent="0.25">
      <c r="A61" s="45" t="s">
        <v>280</v>
      </c>
      <c r="B61" s="79">
        <v>3.3</v>
      </c>
      <c r="C61" s="79">
        <v>7.2</v>
      </c>
      <c r="D61" s="79">
        <v>8.14</v>
      </c>
      <c r="E61" s="79">
        <v>35.5</v>
      </c>
      <c r="F61" s="79">
        <f>9.11248+11.898482</f>
        <v>21.010961999999999</v>
      </c>
      <c r="G61" s="79">
        <v>21.934899999999999</v>
      </c>
      <c r="H61" s="79">
        <f>0.51*26.476486</f>
        <v>13.50300786</v>
      </c>
      <c r="I61" s="79">
        <f>14.116489*0.51</f>
        <v>7.1994093899999996</v>
      </c>
      <c r="J61" s="79">
        <f>0.51*(8.125415+8.133223)</f>
        <v>8.2919053799999993</v>
      </c>
      <c r="K61" s="79">
        <f>0.51*(9.701769+7.626645)</f>
        <v>8.8374911400000009</v>
      </c>
      <c r="L61" s="79">
        <v>8.6999999999999993</v>
      </c>
      <c r="M61" s="79">
        <v>6.9</v>
      </c>
      <c r="N61" s="79">
        <v>6.1</v>
      </c>
      <c r="O61" s="79">
        <v>9.4115889999999993</v>
      </c>
    </row>
    <row r="62" spans="1:15" x14ac:dyDescent="0.25">
      <c r="A62" s="45" t="s">
        <v>42</v>
      </c>
      <c r="B62" s="79">
        <v>23.5</v>
      </c>
      <c r="C62" s="79">
        <v>23</v>
      </c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</row>
    <row r="63" spans="1:15" x14ac:dyDescent="0.25">
      <c r="A63" s="45" t="s">
        <v>43</v>
      </c>
      <c r="B63" s="79">
        <v>5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</row>
    <row r="64" spans="1:15" x14ac:dyDescent="0.25">
      <c r="A64" s="45" t="s">
        <v>44</v>
      </c>
      <c r="B64" s="79"/>
      <c r="C64" s="79">
        <v>1.5</v>
      </c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  <row r="65" spans="1:15" x14ac:dyDescent="0.25">
      <c r="A65" s="45" t="s">
        <v>45</v>
      </c>
      <c r="B65" s="79"/>
      <c r="C65" s="79"/>
      <c r="D65" s="79"/>
      <c r="E65" s="79"/>
      <c r="F65" s="79"/>
      <c r="G65" s="79"/>
      <c r="H65" s="79"/>
      <c r="I65" s="79">
        <f>13.002834+12.184877</f>
        <v>25.187711</v>
      </c>
      <c r="J65" s="79">
        <f>8.458448+38.985215</f>
        <v>47.443663000000001</v>
      </c>
      <c r="K65" s="79">
        <v>36</v>
      </c>
      <c r="L65" s="79">
        <v>48.8</v>
      </c>
      <c r="M65" s="79">
        <v>33.4</v>
      </c>
      <c r="N65" s="79">
        <v>24.2</v>
      </c>
      <c r="O65" s="79">
        <f>20.507806+3.882782</f>
        <v>24.390587999999997</v>
      </c>
    </row>
    <row r="66" spans="1:15" x14ac:dyDescent="0.25">
      <c r="A66" s="46" t="s">
        <v>46</v>
      </c>
      <c r="B66" s="80"/>
      <c r="C66" s="80"/>
      <c r="D66" s="80"/>
      <c r="E66" s="80"/>
      <c r="F66" s="80"/>
      <c r="G66" s="80"/>
      <c r="H66" s="80"/>
      <c r="I66" s="80">
        <v>1.5913999999999999</v>
      </c>
      <c r="J66" s="80"/>
      <c r="K66" s="80"/>
      <c r="L66" s="80"/>
      <c r="M66" s="80"/>
      <c r="N66" s="80"/>
      <c r="O66" s="80"/>
    </row>
    <row r="67" spans="1:15" x14ac:dyDescent="0.25">
      <c r="A67" s="47" t="s">
        <v>47</v>
      </c>
      <c r="B67" s="83">
        <f>SUM(B61:B66)</f>
        <v>31.8</v>
      </c>
      <c r="C67" s="83">
        <f t="shared" ref="C67:L67" si="10">SUM(C61:C66)</f>
        <v>31.7</v>
      </c>
      <c r="D67" s="83">
        <f t="shared" si="10"/>
        <v>8.14</v>
      </c>
      <c r="E67" s="83">
        <f t="shared" si="10"/>
        <v>35.5</v>
      </c>
      <c r="F67" s="83">
        <f t="shared" si="10"/>
        <v>21.010961999999999</v>
      </c>
      <c r="G67" s="83">
        <f t="shared" si="10"/>
        <v>21.934899999999999</v>
      </c>
      <c r="H67" s="83">
        <f t="shared" si="10"/>
        <v>13.50300786</v>
      </c>
      <c r="I67" s="83">
        <f t="shared" si="10"/>
        <v>33.97852039</v>
      </c>
      <c r="J67" s="83">
        <f t="shared" si="10"/>
        <v>55.735568380000004</v>
      </c>
      <c r="K67" s="83">
        <f t="shared" si="10"/>
        <v>44.837491139999997</v>
      </c>
      <c r="L67" s="83">
        <f t="shared" si="10"/>
        <v>57.5</v>
      </c>
      <c r="M67" s="83">
        <f>SUM(M61:M66)</f>
        <v>40.299999999999997</v>
      </c>
      <c r="N67" s="83">
        <f>SUM(N61:N66)</f>
        <v>30.299999999999997</v>
      </c>
      <c r="O67" s="83">
        <f>SUM(O61:O66)</f>
        <v>33.802177</v>
      </c>
    </row>
    <row r="68" spans="1:15" x14ac:dyDescent="0.25">
      <c r="A68" s="33" t="s">
        <v>48</v>
      </c>
    </row>
    <row r="69" spans="1:15" x14ac:dyDescent="0.25">
      <c r="A69" s="45" t="s">
        <v>276</v>
      </c>
      <c r="B69" s="79">
        <v>25</v>
      </c>
      <c r="C69" s="79">
        <v>23.3</v>
      </c>
      <c r="D69" s="79">
        <v>37.9</v>
      </c>
      <c r="E69" s="79">
        <v>30</v>
      </c>
      <c r="F69" s="79">
        <v>24.5015</v>
      </c>
      <c r="G69" s="79">
        <v>22.101500000000001</v>
      </c>
      <c r="H69" s="79">
        <v>24.184291999999999</v>
      </c>
      <c r="I69" s="79">
        <v>22.0015</v>
      </c>
      <c r="J69" s="79">
        <v>9.1385299999999994</v>
      </c>
      <c r="K69" s="79">
        <v>12.0015</v>
      </c>
      <c r="L69" s="79">
        <v>42</v>
      </c>
      <c r="M69" s="79">
        <v>47.5</v>
      </c>
      <c r="N69" s="79">
        <v>20.5</v>
      </c>
      <c r="O69" s="79">
        <f>10.497499+9.997622</f>
        <v>20.495120999999997</v>
      </c>
    </row>
    <row r="70" spans="1:15" x14ac:dyDescent="0.25">
      <c r="A70" s="45" t="s">
        <v>49</v>
      </c>
      <c r="B70" s="79"/>
      <c r="C70" s="79"/>
      <c r="D70" s="79"/>
      <c r="E70" s="79"/>
      <c r="F70" s="79"/>
      <c r="G70" s="79"/>
      <c r="H70" s="79"/>
      <c r="I70" s="79">
        <v>17.4573</v>
      </c>
      <c r="J70" s="79">
        <v>13.067399999999999</v>
      </c>
      <c r="K70" s="79">
        <v>12.9765</v>
      </c>
      <c r="L70" s="79">
        <v>22.7</v>
      </c>
      <c r="M70" s="79">
        <v>25.1</v>
      </c>
      <c r="N70" s="79">
        <v>20.100000000000001</v>
      </c>
      <c r="O70" s="79">
        <v>25.167999999999999</v>
      </c>
    </row>
    <row r="71" spans="1:15" x14ac:dyDescent="0.25">
      <c r="A71" s="45" t="s">
        <v>50</v>
      </c>
      <c r="B71" s="79"/>
      <c r="C71" s="79">
        <v>3.2</v>
      </c>
      <c r="D71" s="79">
        <v>4.0999999999999996</v>
      </c>
      <c r="E71" s="79">
        <v>13.2</v>
      </c>
      <c r="F71" s="79"/>
      <c r="G71" s="79"/>
      <c r="H71" s="79"/>
      <c r="I71" s="79"/>
      <c r="J71" s="79"/>
      <c r="K71" s="79"/>
      <c r="L71" s="79"/>
      <c r="M71" s="79"/>
      <c r="N71" s="79"/>
      <c r="O71" s="79"/>
    </row>
    <row r="72" spans="1:15" x14ac:dyDescent="0.25">
      <c r="A72" s="45" t="s">
        <v>51</v>
      </c>
      <c r="B72" s="79">
        <v>35.299999999999997</v>
      </c>
      <c r="C72" s="79">
        <v>31.4</v>
      </c>
      <c r="D72" s="79">
        <v>11.5</v>
      </c>
      <c r="E72" s="79">
        <v>15.7</v>
      </c>
      <c r="F72" s="79">
        <f>16.228512+6.453799</f>
        <v>22.682310999999999</v>
      </c>
      <c r="G72" s="79"/>
      <c r="H72" s="79"/>
      <c r="I72" s="79"/>
      <c r="J72" s="79"/>
      <c r="K72" s="79"/>
      <c r="L72" s="79"/>
      <c r="M72" s="79"/>
      <c r="N72" s="79"/>
      <c r="O72" s="79"/>
    </row>
    <row r="73" spans="1:15" x14ac:dyDescent="0.25">
      <c r="A73" s="45" t="s">
        <v>52</v>
      </c>
      <c r="B73" s="79"/>
      <c r="C73" s="79">
        <v>2</v>
      </c>
      <c r="D73" s="79">
        <v>8.1</v>
      </c>
      <c r="E73" s="79">
        <v>12.8</v>
      </c>
      <c r="F73" s="79">
        <v>13.1394</v>
      </c>
      <c r="G73" s="79"/>
      <c r="H73" s="79"/>
      <c r="I73" s="79"/>
      <c r="J73" s="79"/>
      <c r="K73" s="79"/>
      <c r="L73" s="79"/>
      <c r="M73" s="79"/>
      <c r="N73" s="79"/>
      <c r="O73" s="79"/>
    </row>
    <row r="74" spans="1:15" x14ac:dyDescent="0.25">
      <c r="A74" s="45" t="s">
        <v>53</v>
      </c>
      <c r="B74" s="79"/>
      <c r="C74" s="79"/>
      <c r="D74" s="79"/>
      <c r="E74" s="79"/>
      <c r="F74" s="79"/>
      <c r="G74" s="80">
        <v>2.9854910000000001</v>
      </c>
      <c r="H74" s="79">
        <v>4.702426</v>
      </c>
      <c r="I74" s="80">
        <f>15.84402+4.786891</f>
        <v>20.630911000000001</v>
      </c>
      <c r="J74" s="79">
        <f>24.8675+5.356896</f>
        <v>30.224395999999999</v>
      </c>
      <c r="K74" s="80">
        <f>15.5715+8.631454</f>
        <v>24.202953999999998</v>
      </c>
      <c r="L74" s="79"/>
      <c r="M74" s="80"/>
      <c r="N74" s="80"/>
      <c r="O74" s="80"/>
    </row>
    <row r="75" spans="1:15" x14ac:dyDescent="0.25">
      <c r="A75" s="46" t="s">
        <v>277</v>
      </c>
      <c r="B75" s="80"/>
      <c r="C75" s="80"/>
      <c r="D75" s="80"/>
      <c r="E75" s="80"/>
      <c r="F75" s="80"/>
      <c r="G75" s="79"/>
      <c r="H75" s="80"/>
      <c r="I75" s="79">
        <v>6.1935500000000001</v>
      </c>
      <c r="J75" s="80"/>
      <c r="K75" s="79"/>
      <c r="L75" s="80"/>
      <c r="M75" s="79"/>
      <c r="N75" s="79"/>
      <c r="O75" s="79"/>
    </row>
    <row r="76" spans="1:15" x14ac:dyDescent="0.25">
      <c r="A76" s="46" t="s">
        <v>278</v>
      </c>
      <c r="B76" s="80"/>
      <c r="C76" s="80"/>
      <c r="D76" s="80"/>
      <c r="E76" s="80"/>
      <c r="F76" s="80"/>
      <c r="G76" s="79"/>
      <c r="H76" s="80"/>
      <c r="I76" s="79"/>
      <c r="J76" s="80"/>
      <c r="K76" s="79"/>
      <c r="L76" s="80"/>
      <c r="M76" s="79"/>
      <c r="N76" s="79"/>
      <c r="O76" s="79">
        <v>9.3862500000000004</v>
      </c>
    </row>
    <row r="77" spans="1:15" x14ac:dyDescent="0.25">
      <c r="A77" s="48" t="s">
        <v>54</v>
      </c>
      <c r="B77" s="83">
        <f>SUM(B69:B75)</f>
        <v>60.3</v>
      </c>
      <c r="C77" s="83">
        <f t="shared" ref="C77:M77" si="11">SUM(C69:C75)</f>
        <v>59.9</v>
      </c>
      <c r="D77" s="83">
        <f t="shared" si="11"/>
        <v>61.6</v>
      </c>
      <c r="E77" s="83">
        <f t="shared" si="11"/>
        <v>71.7</v>
      </c>
      <c r="F77" s="83">
        <f t="shared" si="11"/>
        <v>60.323211000000001</v>
      </c>
      <c r="G77" s="83">
        <f t="shared" si="11"/>
        <v>25.086991000000001</v>
      </c>
      <c r="H77" s="83">
        <f t="shared" si="11"/>
        <v>28.886717999999998</v>
      </c>
      <c r="I77" s="83">
        <f t="shared" si="11"/>
        <v>66.283260999999996</v>
      </c>
      <c r="J77" s="83">
        <f t="shared" si="11"/>
        <v>52.430325999999994</v>
      </c>
      <c r="K77" s="83">
        <f t="shared" si="11"/>
        <v>49.180954</v>
      </c>
      <c r="L77" s="83">
        <f t="shared" si="11"/>
        <v>64.7</v>
      </c>
      <c r="M77" s="83">
        <f t="shared" si="11"/>
        <v>72.599999999999994</v>
      </c>
      <c r="N77" s="83">
        <f>SUM(N69:N75)</f>
        <v>40.6</v>
      </c>
      <c r="O77" s="83">
        <f>SUM(O69:O76)</f>
        <v>55.049370999999994</v>
      </c>
    </row>
    <row r="78" spans="1:15" x14ac:dyDescent="0.25">
      <c r="A78" s="33" t="s">
        <v>55</v>
      </c>
    </row>
    <row r="79" spans="1:15" x14ac:dyDescent="0.25">
      <c r="A79" s="45" t="s">
        <v>279</v>
      </c>
      <c r="B79" s="79">
        <v>25</v>
      </c>
      <c r="C79" s="79">
        <v>46.2</v>
      </c>
      <c r="D79" s="79">
        <v>40</v>
      </c>
      <c r="E79" s="79">
        <v>24.2</v>
      </c>
      <c r="F79" s="79">
        <v>44.051220000000001</v>
      </c>
      <c r="G79" s="79">
        <v>76.871499999999997</v>
      </c>
      <c r="H79" s="79">
        <f>69.7515</f>
        <v>69.751499999999993</v>
      </c>
      <c r="I79" s="79">
        <v>73.401499999999999</v>
      </c>
      <c r="J79" s="79">
        <v>72.367216999999997</v>
      </c>
      <c r="K79" s="79">
        <v>99.001499999999993</v>
      </c>
      <c r="L79" s="79">
        <v>109.9</v>
      </c>
      <c r="M79" s="79">
        <v>131.69999999999999</v>
      </c>
      <c r="N79" s="79">
        <v>129.9</v>
      </c>
      <c r="O79" s="79">
        <v>129.90598499999999</v>
      </c>
    </row>
    <row r="80" spans="1:15" x14ac:dyDescent="0.25">
      <c r="A80" s="45" t="s">
        <v>56</v>
      </c>
      <c r="B80" s="79">
        <v>26</v>
      </c>
      <c r="C80" s="79">
        <v>16.899999999999999</v>
      </c>
      <c r="D80" s="79">
        <v>7.4</v>
      </c>
      <c r="E80" s="79"/>
      <c r="F80" s="79"/>
      <c r="G80" s="79"/>
      <c r="H80" s="79">
        <v>11.5413</v>
      </c>
      <c r="I80" s="79">
        <v>10.59108</v>
      </c>
      <c r="J80" s="79">
        <f>6.06305+5.78365+16.333875</f>
        <v>28.180574999999997</v>
      </c>
      <c r="K80" s="79">
        <v>9.7349250000000005</v>
      </c>
      <c r="L80" s="79">
        <f>48.9+12.1</f>
        <v>61</v>
      </c>
      <c r="M80" s="79">
        <v>30</v>
      </c>
      <c r="N80" s="84">
        <v>50</v>
      </c>
      <c r="O80" s="84"/>
    </row>
    <row r="81" spans="1:15" x14ac:dyDescent="0.25">
      <c r="A81" s="45" t="s">
        <v>57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84">
        <v>27</v>
      </c>
      <c r="O81" s="84">
        <v>26.987161</v>
      </c>
    </row>
    <row r="82" spans="1:15" x14ac:dyDescent="0.25">
      <c r="A82" s="45" t="s">
        <v>58</v>
      </c>
      <c r="B82" s="79">
        <v>5</v>
      </c>
      <c r="C82" s="79">
        <v>6.9</v>
      </c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</row>
    <row r="83" spans="1:15" x14ac:dyDescent="0.25">
      <c r="A83" s="45" t="s">
        <v>59</v>
      </c>
      <c r="B83" s="79"/>
      <c r="C83" s="79"/>
      <c r="D83" s="79">
        <v>30</v>
      </c>
      <c r="E83" s="79">
        <v>121.9</v>
      </c>
      <c r="F83" s="79">
        <v>64.780500000000004</v>
      </c>
      <c r="G83" s="79"/>
      <c r="H83" s="79"/>
      <c r="I83" s="79"/>
      <c r="J83" s="79"/>
      <c r="K83" s="79"/>
      <c r="L83" s="79"/>
      <c r="M83" s="79"/>
      <c r="N83" s="79"/>
      <c r="O83" s="79"/>
    </row>
    <row r="84" spans="1:15" x14ac:dyDescent="0.25">
      <c r="A84" s="45" t="s">
        <v>60</v>
      </c>
      <c r="B84" s="79"/>
      <c r="C84" s="79"/>
      <c r="D84" s="79"/>
      <c r="E84" s="79">
        <v>12.1</v>
      </c>
      <c r="F84" s="79">
        <v>11.4908</v>
      </c>
      <c r="G84" s="79">
        <v>11.301500000000001</v>
      </c>
      <c r="H84" s="79">
        <v>12.904400000000001</v>
      </c>
      <c r="I84" s="79">
        <v>30.401499999999999</v>
      </c>
      <c r="J84" s="79">
        <v>29.987293999999999</v>
      </c>
      <c r="K84" s="79"/>
      <c r="L84" s="79">
        <v>12.2</v>
      </c>
      <c r="M84" s="79">
        <v>30.2</v>
      </c>
      <c r="N84" s="79">
        <v>21</v>
      </c>
      <c r="O84" s="79">
        <v>20.99493</v>
      </c>
    </row>
    <row r="85" spans="1:15" x14ac:dyDescent="0.25">
      <c r="A85" s="45" t="s">
        <v>61</v>
      </c>
      <c r="B85" s="79"/>
      <c r="C85" s="79"/>
      <c r="D85" s="79"/>
      <c r="E85" s="79"/>
      <c r="F85" s="79"/>
      <c r="G85" s="80"/>
      <c r="H85" s="79"/>
      <c r="I85" s="80"/>
      <c r="J85" s="79"/>
      <c r="K85" s="80">
        <v>9.2939240000000005</v>
      </c>
      <c r="L85" s="79"/>
      <c r="M85" s="80"/>
      <c r="N85" s="80"/>
      <c r="O85" s="80"/>
    </row>
    <row r="86" spans="1:15" x14ac:dyDescent="0.25">
      <c r="A86" s="45" t="s">
        <v>62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80"/>
      <c r="O86" s="80"/>
    </row>
    <row r="87" spans="1:15" x14ac:dyDescent="0.25">
      <c r="A87" s="45" t="s">
        <v>63</v>
      </c>
      <c r="B87" s="79"/>
      <c r="C87" s="79"/>
      <c r="D87" s="79"/>
      <c r="E87" s="79"/>
      <c r="F87" s="79"/>
      <c r="G87" s="79">
        <v>4.5767959999999999</v>
      </c>
      <c r="H87" s="79"/>
      <c r="I87" s="79"/>
      <c r="J87" s="79"/>
      <c r="K87" s="79"/>
      <c r="L87" s="79"/>
      <c r="M87" s="79"/>
      <c r="N87" s="79">
        <v>11.6</v>
      </c>
      <c r="O87" s="79"/>
    </row>
    <row r="88" spans="1:15" x14ac:dyDescent="0.25">
      <c r="A88" s="45" t="s">
        <v>64</v>
      </c>
      <c r="B88" s="79"/>
      <c r="C88" s="79"/>
      <c r="D88" s="79"/>
      <c r="E88" s="79"/>
      <c r="F88" s="79"/>
      <c r="G88" s="79">
        <v>14.495587</v>
      </c>
      <c r="H88" s="79">
        <v>17.884696000000002</v>
      </c>
      <c r="I88" s="79">
        <v>15.566182</v>
      </c>
      <c r="J88" s="79">
        <v>17.650635999999999</v>
      </c>
      <c r="K88" s="79">
        <v>10.232746000000001</v>
      </c>
      <c r="L88" s="79"/>
      <c r="M88" s="79"/>
      <c r="N88" s="79"/>
      <c r="O88" s="79"/>
    </row>
    <row r="89" spans="1:15" x14ac:dyDescent="0.25">
      <c r="A89" s="45" t="s">
        <v>65</v>
      </c>
      <c r="B89" s="79"/>
      <c r="C89" s="79"/>
      <c r="D89" s="79"/>
      <c r="E89" s="79"/>
      <c r="F89" s="79"/>
      <c r="G89" s="79">
        <v>1.57968</v>
      </c>
      <c r="H89" s="79">
        <v>5.060492</v>
      </c>
      <c r="I89" s="79"/>
      <c r="J89" s="79"/>
      <c r="K89" s="79"/>
      <c r="L89" s="79"/>
      <c r="M89" s="79"/>
      <c r="N89" s="79"/>
      <c r="O89" s="79"/>
    </row>
    <row r="90" spans="1:15" x14ac:dyDescent="0.25">
      <c r="A90" s="45" t="s">
        <v>66</v>
      </c>
      <c r="B90" s="79">
        <v>30</v>
      </c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</row>
    <row r="91" spans="1:15" x14ac:dyDescent="0.25">
      <c r="A91" s="45" t="s">
        <v>67</v>
      </c>
      <c r="B91" s="79"/>
      <c r="C91" s="79"/>
      <c r="D91" s="79"/>
      <c r="E91" s="79"/>
      <c r="F91" s="79"/>
      <c r="G91" s="79">
        <v>24.2315</v>
      </c>
      <c r="H91" s="79">
        <v>12.904400000000001</v>
      </c>
      <c r="I91" s="79">
        <v>20.301500000000001</v>
      </c>
      <c r="J91" s="79">
        <v>20.296693999999999</v>
      </c>
      <c r="K91" s="79">
        <v>12.0015</v>
      </c>
      <c r="L91" s="79">
        <v>25.4</v>
      </c>
      <c r="M91" s="79">
        <v>21</v>
      </c>
      <c r="N91" s="79">
        <v>19.8</v>
      </c>
      <c r="O91" s="79">
        <v>25.318000000000001</v>
      </c>
    </row>
    <row r="92" spans="1:15" x14ac:dyDescent="0.25">
      <c r="A92" s="45" t="s">
        <v>68</v>
      </c>
      <c r="B92" s="79"/>
      <c r="C92" s="79">
        <v>17.100000000000001</v>
      </c>
      <c r="D92" s="79">
        <v>47.2</v>
      </c>
      <c r="E92" s="79"/>
      <c r="F92" s="79"/>
      <c r="G92" s="79"/>
      <c r="H92" s="79">
        <v>17.291385999999999</v>
      </c>
      <c r="I92" s="79">
        <v>20.0015</v>
      </c>
      <c r="J92" s="79">
        <v>7.999606</v>
      </c>
      <c r="K92" s="79">
        <v>9.7882250000000006</v>
      </c>
      <c r="L92" s="79"/>
      <c r="M92" s="79"/>
      <c r="N92" s="79"/>
      <c r="O92" s="79"/>
    </row>
    <row r="93" spans="1:15" x14ac:dyDescent="0.25">
      <c r="A93" s="47" t="s">
        <v>70</v>
      </c>
      <c r="B93" s="83">
        <f t="shared" ref="B93:M93" si="12">SUM(B79:B92)</f>
        <v>86</v>
      </c>
      <c r="C93" s="83">
        <f t="shared" si="12"/>
        <v>87.1</v>
      </c>
      <c r="D93" s="83">
        <f t="shared" si="12"/>
        <v>124.60000000000001</v>
      </c>
      <c r="E93" s="83">
        <f t="shared" si="12"/>
        <v>158.19999999999999</v>
      </c>
      <c r="F93" s="83">
        <f t="shared" si="12"/>
        <v>120.32252</v>
      </c>
      <c r="G93" s="83">
        <f t="shared" si="12"/>
        <v>133.05656300000001</v>
      </c>
      <c r="H93" s="83">
        <f t="shared" si="12"/>
        <v>147.33817399999998</v>
      </c>
      <c r="I93" s="83">
        <f t="shared" si="12"/>
        <v>170.263262</v>
      </c>
      <c r="J93" s="83">
        <f t="shared" si="12"/>
        <v>176.48202199999997</v>
      </c>
      <c r="K93" s="83">
        <f t="shared" si="12"/>
        <v>150.05282</v>
      </c>
      <c r="L93" s="83">
        <f t="shared" si="12"/>
        <v>208.5</v>
      </c>
      <c r="M93" s="83">
        <f t="shared" si="12"/>
        <v>212.89999999999998</v>
      </c>
      <c r="N93" s="83">
        <f>SUM(N79:N92)</f>
        <v>259.3</v>
      </c>
      <c r="O93" s="83">
        <f>SUM(O79:O92)</f>
        <v>203.20607600000002</v>
      </c>
    </row>
    <row r="94" spans="1:15" x14ac:dyDescent="0.25">
      <c r="A94" s="33" t="s">
        <v>71</v>
      </c>
    </row>
    <row r="95" spans="1:15" x14ac:dyDescent="0.25">
      <c r="A95" s="45" t="s">
        <v>281</v>
      </c>
      <c r="B95" s="79">
        <v>7.5</v>
      </c>
      <c r="C95" s="79">
        <v>7.9</v>
      </c>
      <c r="D95" s="79">
        <v>25.3</v>
      </c>
      <c r="E95" s="79">
        <v>24.2</v>
      </c>
      <c r="F95" s="79">
        <f>25.5835+5.5</f>
        <v>31.083500000000001</v>
      </c>
      <c r="G95" s="79">
        <v>58.542650000000002</v>
      </c>
      <c r="H95" s="79">
        <v>76.216650000000001</v>
      </c>
      <c r="I95" s="79">
        <v>82.201499999999996</v>
      </c>
      <c r="J95" s="79">
        <v>77.664708000000005</v>
      </c>
      <c r="K95" s="79">
        <v>99.201499999999996</v>
      </c>
      <c r="L95" s="79">
        <v>120.9</v>
      </c>
      <c r="M95" s="79">
        <v>132.1</v>
      </c>
      <c r="N95" s="79">
        <v>129.9</v>
      </c>
      <c r="O95" s="79">
        <v>133.90297899999999</v>
      </c>
    </row>
    <row r="96" spans="1:15" x14ac:dyDescent="0.25">
      <c r="A96" s="45" t="s">
        <v>72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>
        <v>21</v>
      </c>
      <c r="O96" s="79">
        <v>20.995086000000001</v>
      </c>
    </row>
    <row r="97" spans="1:15" x14ac:dyDescent="0.25">
      <c r="A97" s="45" t="s">
        <v>73</v>
      </c>
      <c r="B97" s="79">
        <v>15.7</v>
      </c>
      <c r="C97" s="79">
        <v>13.8</v>
      </c>
      <c r="D97" s="79">
        <v>22.5</v>
      </c>
      <c r="E97" s="79"/>
      <c r="F97" s="79">
        <v>30.209499999999998</v>
      </c>
      <c r="G97" s="79"/>
      <c r="H97" s="79"/>
      <c r="I97" s="79"/>
      <c r="J97" s="79"/>
      <c r="K97" s="79"/>
      <c r="L97" s="79"/>
      <c r="M97" s="79"/>
      <c r="N97" s="79"/>
      <c r="O97" s="79"/>
    </row>
    <row r="98" spans="1:15" x14ac:dyDescent="0.25">
      <c r="A98" s="45" t="s">
        <v>74</v>
      </c>
      <c r="B98" s="79"/>
      <c r="C98" s="79"/>
      <c r="D98" s="79"/>
      <c r="E98" s="79"/>
      <c r="F98" s="79"/>
      <c r="G98" s="79">
        <v>17.017655999999999</v>
      </c>
      <c r="H98" s="79">
        <v>18.894974000000001</v>
      </c>
      <c r="I98" s="79">
        <v>13.114265</v>
      </c>
      <c r="J98" s="79"/>
      <c r="K98" s="79"/>
      <c r="L98" s="79"/>
      <c r="M98" s="79"/>
      <c r="N98" s="79"/>
      <c r="O98" s="79"/>
    </row>
    <row r="99" spans="1:15" x14ac:dyDescent="0.25">
      <c r="A99" s="45" t="s">
        <v>75</v>
      </c>
      <c r="B99" s="79">
        <v>7.5</v>
      </c>
      <c r="C99" s="79">
        <v>6.9</v>
      </c>
      <c r="D99" s="79">
        <v>12.3</v>
      </c>
      <c r="E99" s="79">
        <v>24.2</v>
      </c>
      <c r="F99" s="79">
        <v>10.36464</v>
      </c>
      <c r="G99" s="79">
        <v>11.301500000000001</v>
      </c>
      <c r="H99" s="79">
        <v>11.4015</v>
      </c>
      <c r="I99" s="79">
        <v>17.5015</v>
      </c>
      <c r="J99" s="79">
        <v>17.997237999999999</v>
      </c>
      <c r="K99" s="79">
        <v>12.0015</v>
      </c>
      <c r="L99" s="79">
        <v>12.1</v>
      </c>
      <c r="M99" s="79"/>
      <c r="N99" s="79"/>
      <c r="O99" s="79"/>
    </row>
    <row r="100" spans="1:15" x14ac:dyDescent="0.25">
      <c r="A100" s="45" t="s">
        <v>76</v>
      </c>
      <c r="B100" s="79">
        <v>5.6</v>
      </c>
      <c r="C100" s="79">
        <v>13.8</v>
      </c>
      <c r="D100" s="79">
        <v>12.3</v>
      </c>
      <c r="E100" s="79">
        <v>24.2</v>
      </c>
      <c r="F100" s="79">
        <v>12.795500000000001</v>
      </c>
      <c r="G100" s="79">
        <v>11.301500000000001</v>
      </c>
      <c r="H100" s="79">
        <v>12.201499999999999</v>
      </c>
      <c r="I100" s="79">
        <v>17.5015</v>
      </c>
      <c r="J100" s="79">
        <v>16.997475000000001</v>
      </c>
      <c r="K100" s="79">
        <v>12.0015</v>
      </c>
      <c r="L100" s="79">
        <v>12.1</v>
      </c>
      <c r="M100" s="79">
        <v>11</v>
      </c>
      <c r="N100" s="79">
        <v>10.5</v>
      </c>
      <c r="O100" s="79">
        <v>10.497498999999999</v>
      </c>
    </row>
    <row r="101" spans="1:15" x14ac:dyDescent="0.25">
      <c r="A101" s="45" t="s">
        <v>77</v>
      </c>
      <c r="B101" s="79"/>
      <c r="C101" s="79"/>
      <c r="D101" s="79"/>
      <c r="E101" s="79"/>
      <c r="F101" s="79"/>
      <c r="G101" s="80"/>
      <c r="H101" s="79"/>
      <c r="I101" s="80"/>
      <c r="J101" s="79">
        <v>3.2687499999999998</v>
      </c>
      <c r="K101" s="80"/>
      <c r="L101" s="79"/>
      <c r="M101" s="80"/>
      <c r="N101" s="80"/>
      <c r="O101" s="80"/>
    </row>
    <row r="102" spans="1:15" x14ac:dyDescent="0.25">
      <c r="A102" s="45" t="s">
        <v>78</v>
      </c>
      <c r="B102" s="79"/>
      <c r="C102" s="79"/>
      <c r="D102" s="79">
        <v>6.7</v>
      </c>
      <c r="E102" s="79">
        <v>12.1</v>
      </c>
      <c r="F102" s="79">
        <v>12.41168</v>
      </c>
      <c r="G102" s="79">
        <v>22.601500000000001</v>
      </c>
      <c r="H102" s="79">
        <f>7.485182+5.450118</f>
        <v>12.9353</v>
      </c>
      <c r="I102" s="79">
        <v>17.5015</v>
      </c>
      <c r="J102" s="79">
        <v>10.998896</v>
      </c>
      <c r="K102" s="79">
        <v>12.0015</v>
      </c>
      <c r="L102" s="79">
        <v>12.1</v>
      </c>
      <c r="M102" s="79">
        <v>11</v>
      </c>
      <c r="N102" s="79">
        <v>21</v>
      </c>
      <c r="O102" s="79">
        <v>20.995028999999999</v>
      </c>
    </row>
    <row r="103" spans="1:15" x14ac:dyDescent="0.25">
      <c r="A103" s="45" t="s">
        <v>79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>
        <v>19.995260999999999</v>
      </c>
      <c r="L103" s="79">
        <v>24.8</v>
      </c>
      <c r="M103" s="79">
        <v>22.5</v>
      </c>
      <c r="N103" s="79">
        <v>0</v>
      </c>
      <c r="O103" s="79">
        <v>12.662591000000001</v>
      </c>
    </row>
    <row r="104" spans="1:15" x14ac:dyDescent="0.25">
      <c r="A104" s="45" t="s">
        <v>80</v>
      </c>
      <c r="B104" s="79"/>
      <c r="C104" s="79"/>
      <c r="D104" s="79"/>
      <c r="E104" s="79"/>
      <c r="F104" s="79"/>
      <c r="G104" s="79"/>
      <c r="H104" s="79"/>
      <c r="I104" s="79">
        <v>16.17043</v>
      </c>
      <c r="J104" s="79">
        <f>0.616614+0.016322</f>
        <v>0.63293599999999994</v>
      </c>
      <c r="K104" s="79"/>
      <c r="L104" s="79"/>
      <c r="M104" s="79"/>
      <c r="N104" s="79"/>
      <c r="O104" s="79"/>
    </row>
    <row r="105" spans="1:15" x14ac:dyDescent="0.25">
      <c r="A105" s="45" t="s">
        <v>81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>
        <f>6.559081+14.633762</f>
        <v>21.192843</v>
      </c>
      <c r="L105" s="79">
        <v>0.2</v>
      </c>
      <c r="M105" s="79"/>
      <c r="N105" s="79"/>
      <c r="O105" s="79"/>
    </row>
    <row r="106" spans="1:15" x14ac:dyDescent="0.25">
      <c r="A106" s="45" t="s">
        <v>82</v>
      </c>
      <c r="B106" s="79"/>
      <c r="C106" s="79"/>
      <c r="D106" s="79">
        <v>14.1</v>
      </c>
      <c r="E106" s="79">
        <v>53.1</v>
      </c>
      <c r="F106" s="79">
        <f>19.295277+14.263463</f>
        <v>33.55874</v>
      </c>
      <c r="G106" s="79"/>
      <c r="H106" s="79"/>
      <c r="I106" s="79"/>
      <c r="J106" s="79"/>
      <c r="K106" s="79"/>
      <c r="L106" s="79"/>
      <c r="M106" s="79"/>
      <c r="N106" s="79"/>
      <c r="O106" s="79"/>
    </row>
    <row r="107" spans="1:15" x14ac:dyDescent="0.25">
      <c r="A107" s="45" t="s">
        <v>83</v>
      </c>
      <c r="B107" s="79"/>
      <c r="C107" s="79"/>
      <c r="D107" s="79"/>
      <c r="E107" s="79"/>
      <c r="F107" s="79"/>
      <c r="G107" s="79"/>
      <c r="H107" s="79">
        <v>18.84</v>
      </c>
      <c r="I107" s="79">
        <v>17.347950000000001</v>
      </c>
      <c r="J107" s="79"/>
      <c r="K107" s="79"/>
      <c r="L107" s="79"/>
      <c r="M107" s="79"/>
      <c r="N107" s="79"/>
      <c r="O107" s="79"/>
    </row>
    <row r="108" spans="1:15" x14ac:dyDescent="0.25">
      <c r="A108" s="45" t="s">
        <v>84</v>
      </c>
      <c r="B108" s="79"/>
      <c r="C108" s="79"/>
      <c r="D108" s="79"/>
      <c r="E108" s="79"/>
      <c r="F108" s="79"/>
      <c r="G108" s="80"/>
      <c r="H108" s="79"/>
      <c r="I108" s="80">
        <v>4.9753100000000003</v>
      </c>
      <c r="J108" s="79">
        <v>5.0015000000000001</v>
      </c>
      <c r="K108" s="80"/>
      <c r="L108" s="79"/>
      <c r="M108" s="80"/>
      <c r="N108" s="80"/>
      <c r="O108" s="80"/>
    </row>
    <row r="109" spans="1:15" x14ac:dyDescent="0.25">
      <c r="A109" s="45" t="s">
        <v>85</v>
      </c>
      <c r="B109" s="79"/>
      <c r="C109" s="79"/>
      <c r="D109" s="79"/>
      <c r="E109" s="79"/>
      <c r="F109" s="79"/>
      <c r="G109" s="79"/>
      <c r="H109" s="79"/>
      <c r="I109" s="79"/>
      <c r="J109" s="79"/>
      <c r="K109" s="79">
        <v>5.6412760000000004</v>
      </c>
      <c r="L109" s="79">
        <v>4.5</v>
      </c>
      <c r="M109" s="79">
        <v>6.2</v>
      </c>
      <c r="N109" s="79">
        <v>8.6999999999999993</v>
      </c>
      <c r="O109" s="79"/>
    </row>
    <row r="110" spans="1:15" x14ac:dyDescent="0.25">
      <c r="A110" s="45" t="s">
        <v>294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>
        <v>69.980729999999994</v>
      </c>
    </row>
    <row r="111" spans="1:15" x14ac:dyDescent="0.25">
      <c r="A111" s="47" t="s">
        <v>87</v>
      </c>
      <c r="B111" s="83">
        <f t="shared" ref="B111:M111" si="13">SUM(B95:B109)</f>
        <v>36.299999999999997</v>
      </c>
      <c r="C111" s="83">
        <f t="shared" si="13"/>
        <v>42.400000000000006</v>
      </c>
      <c r="D111" s="83">
        <f t="shared" si="13"/>
        <v>93.199999999999989</v>
      </c>
      <c r="E111" s="83">
        <f t="shared" si="13"/>
        <v>137.79999999999998</v>
      </c>
      <c r="F111" s="83">
        <f t="shared" si="13"/>
        <v>130.42356000000001</v>
      </c>
      <c r="G111" s="83">
        <f t="shared" si="13"/>
        <v>120.76480600000001</v>
      </c>
      <c r="H111" s="83">
        <f t="shared" si="13"/>
        <v>150.489924</v>
      </c>
      <c r="I111" s="83">
        <f t="shared" si="13"/>
        <v>186.31395499999999</v>
      </c>
      <c r="J111" s="83">
        <f t="shared" si="13"/>
        <v>132.56150300000002</v>
      </c>
      <c r="K111" s="83">
        <f t="shared" si="13"/>
        <v>182.03538</v>
      </c>
      <c r="L111" s="83">
        <f t="shared" si="13"/>
        <v>186.7</v>
      </c>
      <c r="M111" s="83">
        <f t="shared" si="13"/>
        <v>182.79999999999998</v>
      </c>
      <c r="N111" s="83">
        <f>SUM(N95:N109)</f>
        <v>191.1</v>
      </c>
      <c r="O111" s="83">
        <f>SUM(O95:O110)</f>
        <v>269.03391399999998</v>
      </c>
    </row>
    <row r="112" spans="1:15" x14ac:dyDescent="0.25">
      <c r="A112" s="33" t="s">
        <v>88</v>
      </c>
    </row>
    <row r="113" spans="1:15" x14ac:dyDescent="0.25">
      <c r="A113" s="45" t="s">
        <v>282</v>
      </c>
      <c r="B113" s="79">
        <v>7</v>
      </c>
      <c r="C113" s="79">
        <v>15.5</v>
      </c>
      <c r="D113" s="79">
        <v>32.700000000000003</v>
      </c>
      <c r="E113" s="79">
        <v>48.4</v>
      </c>
      <c r="F113" s="79">
        <f>31.09542+34.5213</f>
        <v>65.616720000000001</v>
      </c>
      <c r="G113" s="79">
        <v>24.587199999999999</v>
      </c>
      <c r="H113" s="79">
        <v>11.4015</v>
      </c>
      <c r="I113" s="79">
        <v>16.389285000000001</v>
      </c>
      <c r="J113" s="79">
        <v>6.5344499999999996</v>
      </c>
      <c r="K113" s="79">
        <v>6.4974999999999996</v>
      </c>
      <c r="L113" s="79"/>
      <c r="M113" s="79">
        <v>21.6</v>
      </c>
      <c r="N113" s="79">
        <v>25</v>
      </c>
      <c r="O113" s="79">
        <v>24.994035</v>
      </c>
    </row>
    <row r="114" spans="1:15" x14ac:dyDescent="0.25">
      <c r="A114" s="45" t="s">
        <v>89</v>
      </c>
      <c r="B114" s="79"/>
      <c r="C114" s="79"/>
      <c r="D114" s="79"/>
      <c r="E114" s="79"/>
      <c r="F114" s="79">
        <v>13.360347000000001</v>
      </c>
      <c r="G114" s="79">
        <v>4.8765200000000002</v>
      </c>
      <c r="H114" s="79">
        <v>20.161234</v>
      </c>
      <c r="I114" s="79">
        <v>24.524531</v>
      </c>
      <c r="J114" s="79">
        <f>24.49039+20.352709</f>
        <v>44.843099000000002</v>
      </c>
      <c r="K114" s="79">
        <v>4.1268079999999996</v>
      </c>
      <c r="L114" s="79">
        <v>19.600000000000001</v>
      </c>
      <c r="M114" s="79"/>
      <c r="N114" s="79"/>
      <c r="O114" s="79"/>
    </row>
    <row r="115" spans="1:15" x14ac:dyDescent="0.25">
      <c r="A115" s="45" t="s">
        <v>90</v>
      </c>
      <c r="B115" s="79"/>
      <c r="C115" s="79"/>
      <c r="D115" s="79"/>
      <c r="E115" s="79"/>
      <c r="F115" s="79"/>
      <c r="G115" s="79">
        <v>3.6587640000000001</v>
      </c>
      <c r="H115" s="79">
        <f>13.910422+3.711509</f>
        <v>17.621931</v>
      </c>
      <c r="I115" s="79">
        <v>19.107011</v>
      </c>
      <c r="J115" s="79">
        <f>2.780768+19.877013</f>
        <v>22.657781</v>
      </c>
      <c r="K115" s="79">
        <v>20.066586000000001</v>
      </c>
      <c r="L115" s="79">
        <v>1</v>
      </c>
      <c r="M115" s="79"/>
      <c r="N115" s="79">
        <v>0.2</v>
      </c>
      <c r="O115" s="79">
        <v>3.9288720000000001</v>
      </c>
    </row>
    <row r="116" spans="1:15" x14ac:dyDescent="0.25">
      <c r="A116" s="45" t="s">
        <v>91</v>
      </c>
      <c r="B116" s="79"/>
      <c r="C116" s="79"/>
      <c r="D116" s="79"/>
      <c r="E116" s="79"/>
      <c r="F116" s="79"/>
      <c r="G116" s="79">
        <v>15.642179</v>
      </c>
      <c r="H116" s="79">
        <v>16.386244000000001</v>
      </c>
      <c r="I116" s="79">
        <v>30.324075000000001</v>
      </c>
      <c r="J116" s="79">
        <f>13.010867+0.0157</f>
        <v>13.026567</v>
      </c>
      <c r="K116" s="79"/>
      <c r="L116" s="79"/>
      <c r="M116" s="79"/>
      <c r="N116" s="79"/>
      <c r="O116" s="79"/>
    </row>
    <row r="117" spans="1:15" x14ac:dyDescent="0.25">
      <c r="A117" s="46" t="s">
        <v>92</v>
      </c>
      <c r="B117" s="80"/>
      <c r="C117" s="80"/>
      <c r="D117" s="80"/>
      <c r="E117" s="80"/>
      <c r="F117" s="80"/>
      <c r="G117" s="80"/>
      <c r="H117" s="80">
        <v>6.4629500000000002</v>
      </c>
      <c r="I117" s="80">
        <v>6.0710499999999996</v>
      </c>
      <c r="J117" s="80">
        <v>5.8326000000000002</v>
      </c>
      <c r="K117" s="80"/>
      <c r="L117" s="80">
        <f>50+7.3</f>
        <v>57.3</v>
      </c>
      <c r="M117" s="80"/>
      <c r="N117" s="80"/>
      <c r="O117" s="80"/>
    </row>
    <row r="118" spans="1:15" x14ac:dyDescent="0.25">
      <c r="A118" s="47" t="s">
        <v>93</v>
      </c>
      <c r="B118" s="83">
        <f>SUM(B113:B117)</f>
        <v>7</v>
      </c>
      <c r="C118" s="83">
        <f t="shared" ref="C118:M118" si="14">SUM(C113:C117)</f>
        <v>15.5</v>
      </c>
      <c r="D118" s="83">
        <f t="shared" si="14"/>
        <v>32.700000000000003</v>
      </c>
      <c r="E118" s="83">
        <f t="shared" si="14"/>
        <v>48.4</v>
      </c>
      <c r="F118" s="83">
        <f t="shared" si="14"/>
        <v>78.977067000000005</v>
      </c>
      <c r="G118" s="83">
        <f t="shared" si="14"/>
        <v>48.764662999999999</v>
      </c>
      <c r="H118" s="83">
        <f t="shared" si="14"/>
        <v>72.033859000000007</v>
      </c>
      <c r="I118" s="83">
        <f t="shared" si="14"/>
        <v>96.41595199999999</v>
      </c>
      <c r="J118" s="83">
        <f t="shared" si="14"/>
        <v>92.894497000000001</v>
      </c>
      <c r="K118" s="83">
        <f t="shared" si="14"/>
        <v>30.690894</v>
      </c>
      <c r="L118" s="83">
        <f t="shared" si="14"/>
        <v>77.900000000000006</v>
      </c>
      <c r="M118" s="83">
        <f t="shared" si="14"/>
        <v>21.6</v>
      </c>
      <c r="N118" s="83">
        <f>SUM(N113:N117)</f>
        <v>25.2</v>
      </c>
      <c r="O118" s="83">
        <f>SUM(O113:O117)</f>
        <v>28.922907000000002</v>
      </c>
    </row>
    <row r="119" spans="1:15" x14ac:dyDescent="0.25">
      <c r="A119" s="33" t="s">
        <v>94</v>
      </c>
    </row>
    <row r="120" spans="1:15" x14ac:dyDescent="0.25">
      <c r="A120" s="45" t="s">
        <v>283</v>
      </c>
      <c r="B120" s="79">
        <v>1.9</v>
      </c>
      <c r="C120" s="79">
        <v>1.8</v>
      </c>
      <c r="D120" s="79">
        <v>2.2999999999999998</v>
      </c>
      <c r="E120" s="79">
        <v>7.3</v>
      </c>
      <c r="F120" s="79">
        <v>10.8</v>
      </c>
      <c r="G120" s="79">
        <v>14.94</v>
      </c>
      <c r="H120" s="79">
        <v>11.154104999999999</v>
      </c>
      <c r="I120" s="79">
        <v>6.749009</v>
      </c>
      <c r="J120" s="79">
        <v>6.7641226000000003</v>
      </c>
      <c r="K120" s="79">
        <f>0.6*16.3</f>
        <v>9.7799999999999994</v>
      </c>
      <c r="L120" s="79">
        <v>10.3</v>
      </c>
      <c r="M120" s="79">
        <v>10.3</v>
      </c>
      <c r="N120" s="79">
        <v>5.2</v>
      </c>
      <c r="O120" s="79">
        <v>6.7650199999999998</v>
      </c>
    </row>
    <row r="121" spans="1:15" x14ac:dyDescent="0.25">
      <c r="A121" s="46" t="s">
        <v>95</v>
      </c>
      <c r="B121" s="80"/>
      <c r="C121" s="80"/>
      <c r="D121" s="80"/>
      <c r="E121" s="80"/>
      <c r="F121" s="80"/>
      <c r="G121" s="79">
        <v>7.3371599999999999</v>
      </c>
      <c r="H121" s="80"/>
      <c r="I121" s="79"/>
      <c r="J121" s="80"/>
      <c r="K121" s="79"/>
      <c r="L121" s="80"/>
      <c r="M121" s="79"/>
      <c r="N121" s="79"/>
      <c r="O121" s="79"/>
    </row>
    <row r="122" spans="1:15" x14ac:dyDescent="0.25">
      <c r="A122" s="46" t="s">
        <v>284</v>
      </c>
      <c r="B122" s="80"/>
      <c r="C122" s="80"/>
      <c r="D122" s="80"/>
      <c r="E122" s="80"/>
      <c r="F122" s="80"/>
      <c r="G122" s="79"/>
      <c r="H122" s="80"/>
      <c r="I122" s="79"/>
      <c r="J122" s="80"/>
      <c r="K122" s="79"/>
      <c r="L122" s="80"/>
      <c r="M122" s="79"/>
      <c r="N122" s="79"/>
      <c r="O122" s="79">
        <v>36</v>
      </c>
    </row>
    <row r="123" spans="1:15" x14ac:dyDescent="0.25">
      <c r="A123" s="47" t="s">
        <v>96</v>
      </c>
      <c r="B123" s="83">
        <f t="shared" ref="B123:N123" si="15">SUM(B120:B121)</f>
        <v>1.9</v>
      </c>
      <c r="C123" s="83">
        <f t="shared" si="15"/>
        <v>1.8</v>
      </c>
      <c r="D123" s="83">
        <f t="shared" si="15"/>
        <v>2.2999999999999998</v>
      </c>
      <c r="E123" s="83">
        <f t="shared" si="15"/>
        <v>7.3</v>
      </c>
      <c r="F123" s="83">
        <f t="shared" si="15"/>
        <v>10.8</v>
      </c>
      <c r="G123" s="83">
        <f t="shared" si="15"/>
        <v>22.277159999999999</v>
      </c>
      <c r="H123" s="83">
        <f t="shared" si="15"/>
        <v>11.154104999999999</v>
      </c>
      <c r="I123" s="83">
        <f t="shared" si="15"/>
        <v>6.749009</v>
      </c>
      <c r="J123" s="83">
        <f t="shared" si="15"/>
        <v>6.7641226000000003</v>
      </c>
      <c r="K123" s="83">
        <f t="shared" si="15"/>
        <v>9.7799999999999994</v>
      </c>
      <c r="L123" s="83">
        <f t="shared" si="15"/>
        <v>10.3</v>
      </c>
      <c r="M123" s="83">
        <f t="shared" si="15"/>
        <v>10.3</v>
      </c>
      <c r="N123" s="83">
        <f t="shared" si="15"/>
        <v>5.2</v>
      </c>
      <c r="O123" s="83">
        <f>SUM(O120:O122)</f>
        <v>42.76502</v>
      </c>
    </row>
    <row r="124" spans="1:15" x14ac:dyDescent="0.25">
      <c r="A124" s="33" t="s">
        <v>97</v>
      </c>
    </row>
    <row r="125" spans="1:15" x14ac:dyDescent="0.25">
      <c r="A125" s="34" t="s">
        <v>285</v>
      </c>
      <c r="B125" s="79">
        <v>3.8</v>
      </c>
      <c r="C125" s="79">
        <v>3.2</v>
      </c>
      <c r="D125" s="79">
        <v>3.2</v>
      </c>
      <c r="E125" s="79">
        <v>8.6</v>
      </c>
      <c r="F125" s="79">
        <f>28.768</f>
        <v>28.768000000000001</v>
      </c>
      <c r="G125" s="79">
        <v>11.201499999999999</v>
      </c>
      <c r="H125" s="79"/>
      <c r="I125" s="79">
        <v>12.019600000000001</v>
      </c>
      <c r="J125" s="79">
        <v>12.4345</v>
      </c>
      <c r="K125" s="79">
        <v>13.5273</v>
      </c>
      <c r="L125" s="79">
        <f>12.9+22.4</f>
        <v>35.299999999999997</v>
      </c>
      <c r="M125" s="79">
        <v>77.5</v>
      </c>
      <c r="N125" s="79">
        <v>25</v>
      </c>
      <c r="O125" s="79">
        <v>24.994152</v>
      </c>
    </row>
    <row r="126" spans="1:15" x14ac:dyDescent="0.25">
      <c r="A126" s="34" t="s">
        <v>98</v>
      </c>
      <c r="B126" s="79"/>
      <c r="C126" s="79"/>
      <c r="D126" s="79">
        <v>6.2</v>
      </c>
      <c r="E126" s="79">
        <v>12.1</v>
      </c>
      <c r="F126" s="79">
        <v>5.7461500000000001</v>
      </c>
      <c r="G126" s="79">
        <v>4.5845909999999996</v>
      </c>
      <c r="H126" s="79"/>
      <c r="I126" s="79"/>
      <c r="J126" s="79"/>
      <c r="K126" s="79"/>
      <c r="L126" s="79"/>
      <c r="M126" s="79"/>
      <c r="N126" s="79"/>
      <c r="O126" s="79"/>
    </row>
    <row r="127" spans="1:15" x14ac:dyDescent="0.25">
      <c r="A127" s="45" t="s">
        <v>99</v>
      </c>
      <c r="B127" s="79"/>
      <c r="C127" s="79"/>
      <c r="D127" s="79"/>
      <c r="E127" s="79"/>
      <c r="F127" s="79"/>
      <c r="G127" s="79"/>
      <c r="H127" s="79">
        <v>2.136644</v>
      </c>
      <c r="I127" s="79">
        <v>1.9670909999999999</v>
      </c>
      <c r="J127" s="79">
        <v>2.8705970000000001</v>
      </c>
      <c r="K127" s="79">
        <v>2.6651729999999998</v>
      </c>
      <c r="L127" s="79">
        <v>0.3</v>
      </c>
      <c r="M127" s="79">
        <v>2</v>
      </c>
      <c r="N127" s="79">
        <v>2.2000000000000002</v>
      </c>
      <c r="O127" s="79"/>
    </row>
    <row r="128" spans="1:15" x14ac:dyDescent="0.25">
      <c r="A128" s="34" t="s">
        <v>100</v>
      </c>
      <c r="B128" s="79">
        <v>28.1</v>
      </c>
      <c r="C128" s="79">
        <v>38</v>
      </c>
      <c r="D128" s="79">
        <v>37.5</v>
      </c>
      <c r="E128" s="79">
        <v>24.2</v>
      </c>
      <c r="F128" s="79">
        <v>12.0876</v>
      </c>
      <c r="G128" s="79"/>
      <c r="H128" s="79">
        <v>10.227600000000001</v>
      </c>
      <c r="I128" s="79">
        <v>12.019600000000001</v>
      </c>
      <c r="J128" s="79">
        <v>11.4138</v>
      </c>
      <c r="K128" s="79">
        <v>13.5273</v>
      </c>
      <c r="L128" s="79">
        <v>12.9</v>
      </c>
      <c r="M128" s="79">
        <v>10.6</v>
      </c>
      <c r="N128" s="79">
        <v>94.8</v>
      </c>
      <c r="O128" s="79">
        <v>99.952460000000002</v>
      </c>
    </row>
    <row r="129" spans="1:15" x14ac:dyDescent="0.25">
      <c r="A129" s="34" t="s">
        <v>101</v>
      </c>
      <c r="B129" s="79"/>
      <c r="C129" s="79"/>
      <c r="D129" s="79"/>
      <c r="E129" s="79"/>
      <c r="F129" s="79"/>
      <c r="G129" s="79"/>
      <c r="H129" s="79">
        <v>12.9434</v>
      </c>
      <c r="I129" s="79">
        <v>27.1128</v>
      </c>
      <c r="J129" s="79"/>
      <c r="K129" s="79"/>
      <c r="L129" s="79"/>
      <c r="M129" s="79">
        <v>15.5</v>
      </c>
      <c r="N129" s="79">
        <v>25</v>
      </c>
      <c r="O129" s="79"/>
    </row>
    <row r="130" spans="1:15" x14ac:dyDescent="0.25">
      <c r="A130" s="35" t="s">
        <v>102</v>
      </c>
      <c r="B130" s="80"/>
      <c r="C130" s="80"/>
      <c r="D130" s="80"/>
      <c r="E130" s="80"/>
      <c r="F130" s="80"/>
      <c r="G130" s="79"/>
      <c r="H130" s="80"/>
      <c r="I130" s="79"/>
      <c r="J130" s="80"/>
      <c r="K130" s="79">
        <v>97.981499999999997</v>
      </c>
      <c r="L130" s="80">
        <v>35.799999999999997</v>
      </c>
      <c r="M130" s="79">
        <v>46.2</v>
      </c>
      <c r="N130" s="79">
        <v>25</v>
      </c>
      <c r="O130" s="79"/>
    </row>
    <row r="131" spans="1:15" x14ac:dyDescent="0.25">
      <c r="A131" s="35" t="s">
        <v>103</v>
      </c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80">
        <v>50</v>
      </c>
      <c r="O131" s="80">
        <v>99.954186000000007</v>
      </c>
    </row>
    <row r="132" spans="1:15" x14ac:dyDescent="0.25">
      <c r="A132" s="36" t="s">
        <v>104</v>
      </c>
      <c r="B132" s="83">
        <f>SUM(B125:B131)</f>
        <v>31.900000000000002</v>
      </c>
      <c r="C132" s="83">
        <f t="shared" ref="C132:M132" si="16">SUM(C125:C131)</f>
        <v>41.2</v>
      </c>
      <c r="D132" s="83">
        <f t="shared" si="16"/>
        <v>46.9</v>
      </c>
      <c r="E132" s="83">
        <f t="shared" si="16"/>
        <v>44.9</v>
      </c>
      <c r="F132" s="83">
        <f t="shared" si="16"/>
        <v>46.601750000000003</v>
      </c>
      <c r="G132" s="83">
        <f t="shared" si="16"/>
        <v>15.786090999999999</v>
      </c>
      <c r="H132" s="83">
        <f t="shared" si="16"/>
        <v>25.307644000000003</v>
      </c>
      <c r="I132" s="83">
        <f t="shared" si="16"/>
        <v>53.119090999999997</v>
      </c>
      <c r="J132" s="83">
        <f t="shared" si="16"/>
        <v>26.718896999999998</v>
      </c>
      <c r="K132" s="83">
        <f t="shared" si="16"/>
        <v>127.701273</v>
      </c>
      <c r="L132" s="83">
        <f t="shared" si="16"/>
        <v>84.299999999999983</v>
      </c>
      <c r="M132" s="83">
        <f t="shared" si="16"/>
        <v>151.80000000000001</v>
      </c>
      <c r="N132" s="83">
        <f>SUM(N125:N131)</f>
        <v>222</v>
      </c>
      <c r="O132" s="83">
        <f>SUM(O125:O131)</f>
        <v>224.90079800000001</v>
      </c>
    </row>
    <row r="133" spans="1:15" x14ac:dyDescent="0.25">
      <c r="A133" s="37" t="s">
        <v>105</v>
      </c>
    </row>
    <row r="134" spans="1:15" x14ac:dyDescent="0.25">
      <c r="A134" s="34" t="s">
        <v>286</v>
      </c>
      <c r="B134" s="79">
        <v>7.5</v>
      </c>
      <c r="C134" s="79">
        <v>12.9</v>
      </c>
      <c r="D134" s="79">
        <v>16.3</v>
      </c>
      <c r="E134" s="79">
        <v>24.2</v>
      </c>
      <c r="F134" s="79">
        <v>12.9604</v>
      </c>
      <c r="G134" s="79">
        <f>12.2946+8.0015</f>
        <v>20.296100000000003</v>
      </c>
      <c r="H134" s="79">
        <v>9.0015000000000001</v>
      </c>
      <c r="I134" s="79"/>
      <c r="J134" s="79"/>
      <c r="K134" s="79"/>
      <c r="L134" s="79"/>
      <c r="M134" s="79">
        <v>34.4</v>
      </c>
      <c r="N134" s="79">
        <v>31.5</v>
      </c>
      <c r="O134" s="79">
        <v>31.484997</v>
      </c>
    </row>
    <row r="135" spans="1:15" x14ac:dyDescent="0.25">
      <c r="A135" s="34" t="s">
        <v>106</v>
      </c>
      <c r="B135" s="79"/>
      <c r="C135" s="79">
        <v>6.2</v>
      </c>
      <c r="D135" s="79"/>
      <c r="E135" s="79">
        <v>24.3</v>
      </c>
      <c r="F135" s="79">
        <v>12.257540000000001</v>
      </c>
      <c r="G135" s="79">
        <v>8.0015000000000001</v>
      </c>
      <c r="H135" s="79">
        <v>7.0980949999999998</v>
      </c>
      <c r="I135" s="79">
        <v>12.4015</v>
      </c>
      <c r="J135" s="79">
        <v>11.998659</v>
      </c>
      <c r="K135" s="79">
        <v>12.0015</v>
      </c>
      <c r="L135" s="79">
        <v>12.7</v>
      </c>
      <c r="M135" s="79"/>
      <c r="N135" s="79"/>
      <c r="O135" s="79"/>
    </row>
    <row r="136" spans="1:15" x14ac:dyDescent="0.25">
      <c r="A136" s="35" t="s">
        <v>107</v>
      </c>
      <c r="B136" s="80"/>
      <c r="C136" s="80"/>
      <c r="D136" s="80"/>
      <c r="E136" s="80">
        <v>10.5</v>
      </c>
      <c r="F136" s="80"/>
      <c r="G136" s="80">
        <v>23.020099999999999</v>
      </c>
      <c r="H136" s="80"/>
      <c r="I136" s="80"/>
      <c r="J136" s="80"/>
      <c r="K136" s="80"/>
      <c r="L136" s="80"/>
      <c r="M136" s="80">
        <v>30</v>
      </c>
      <c r="N136" s="80">
        <v>55.8</v>
      </c>
      <c r="O136" s="80">
        <f>4.466621+25.3035+66.5382</f>
        <v>96.308321000000007</v>
      </c>
    </row>
    <row r="137" spans="1:15" x14ac:dyDescent="0.25">
      <c r="A137" s="36" t="s">
        <v>108</v>
      </c>
      <c r="B137" s="83">
        <f>SUM(B134:B136)</f>
        <v>7.5</v>
      </c>
      <c r="C137" s="83">
        <f t="shared" ref="C137:M137" si="17">SUM(C134:C136)</f>
        <v>19.100000000000001</v>
      </c>
      <c r="D137" s="83">
        <f t="shared" si="17"/>
        <v>16.3</v>
      </c>
      <c r="E137" s="83">
        <f t="shared" si="17"/>
        <v>59</v>
      </c>
      <c r="F137" s="83">
        <f t="shared" si="17"/>
        <v>25.217939999999999</v>
      </c>
      <c r="G137" s="83">
        <f t="shared" si="17"/>
        <v>51.317700000000002</v>
      </c>
      <c r="H137" s="83">
        <f t="shared" si="17"/>
        <v>16.099595000000001</v>
      </c>
      <c r="I137" s="83">
        <f t="shared" si="17"/>
        <v>12.4015</v>
      </c>
      <c r="J137" s="83">
        <f t="shared" si="17"/>
        <v>11.998659</v>
      </c>
      <c r="K137" s="83">
        <f t="shared" si="17"/>
        <v>12.0015</v>
      </c>
      <c r="L137" s="83">
        <f t="shared" si="17"/>
        <v>12.7</v>
      </c>
      <c r="M137" s="83">
        <f t="shared" si="17"/>
        <v>64.400000000000006</v>
      </c>
      <c r="N137" s="83">
        <f>SUM(N134:N136)</f>
        <v>87.3</v>
      </c>
      <c r="O137" s="83">
        <f>SUM(O134:O136)</f>
        <v>127.793318</v>
      </c>
    </row>
    <row r="138" spans="1:15" x14ac:dyDescent="0.25">
      <c r="A138" s="37" t="s">
        <v>109</v>
      </c>
    </row>
    <row r="139" spans="1:15" x14ac:dyDescent="0.25">
      <c r="A139" s="34" t="s">
        <v>287</v>
      </c>
      <c r="B139" s="79">
        <v>7.5</v>
      </c>
      <c r="C139" s="79">
        <v>25</v>
      </c>
      <c r="D139" s="79"/>
      <c r="E139" s="79">
        <v>12.1</v>
      </c>
      <c r="F139" s="79">
        <v>12.0801</v>
      </c>
      <c r="G139" s="79">
        <v>5.5015000000000001</v>
      </c>
      <c r="H139" s="79"/>
      <c r="I139" s="79"/>
      <c r="J139" s="79"/>
      <c r="K139" s="79"/>
      <c r="L139" s="79"/>
      <c r="M139" s="79">
        <v>51.1</v>
      </c>
      <c r="N139" s="79">
        <v>50</v>
      </c>
      <c r="O139" s="79">
        <v>49.976436</v>
      </c>
    </row>
    <row r="140" spans="1:15" x14ac:dyDescent="0.25">
      <c r="A140" s="34" t="s">
        <v>110</v>
      </c>
      <c r="B140" s="79"/>
      <c r="C140" s="79"/>
      <c r="D140" s="79">
        <v>7.8</v>
      </c>
      <c r="E140" s="79"/>
      <c r="F140" s="79"/>
      <c r="G140" s="79"/>
      <c r="H140" s="79"/>
      <c r="I140" s="79"/>
      <c r="J140" s="79"/>
      <c r="K140" s="79"/>
      <c r="L140" s="79"/>
      <c r="M140" s="79">
        <v>14.7</v>
      </c>
      <c r="N140" s="79">
        <v>0</v>
      </c>
      <c r="O140" s="79"/>
    </row>
    <row r="141" spans="1:15" x14ac:dyDescent="0.25">
      <c r="A141" s="34" t="s">
        <v>111</v>
      </c>
      <c r="B141" s="79"/>
      <c r="C141" s="79"/>
      <c r="D141" s="79"/>
      <c r="E141" s="79"/>
      <c r="F141" s="79"/>
      <c r="G141" s="79">
        <v>6.0163539999999998</v>
      </c>
      <c r="H141" s="79"/>
      <c r="I141" s="79"/>
      <c r="J141" s="79"/>
      <c r="K141" s="79"/>
      <c r="L141" s="79">
        <v>13.6</v>
      </c>
      <c r="M141" s="79"/>
      <c r="N141" s="79"/>
      <c r="O141" s="79"/>
    </row>
    <row r="142" spans="1:15" x14ac:dyDescent="0.25">
      <c r="A142" s="34" t="s">
        <v>112</v>
      </c>
      <c r="B142" s="79"/>
      <c r="C142" s="79"/>
      <c r="D142" s="79"/>
      <c r="E142" s="79">
        <v>9.6999999999999993</v>
      </c>
      <c r="F142" s="79"/>
      <c r="G142" s="79">
        <v>11.5108</v>
      </c>
      <c r="H142" s="79"/>
      <c r="I142" s="79"/>
      <c r="J142" s="79"/>
      <c r="K142" s="79"/>
      <c r="L142" s="79"/>
      <c r="M142" s="79"/>
      <c r="N142" s="79"/>
      <c r="O142" s="79"/>
    </row>
    <row r="143" spans="1:15" x14ac:dyDescent="0.25">
      <c r="A143" s="35" t="s">
        <v>113</v>
      </c>
      <c r="B143" s="80"/>
      <c r="C143" s="80"/>
      <c r="D143" s="80"/>
      <c r="E143" s="80"/>
      <c r="F143" s="80"/>
      <c r="G143" s="80"/>
      <c r="H143" s="80">
        <v>6.5407200000000003</v>
      </c>
      <c r="I143" s="80">
        <v>6.0385850000000003</v>
      </c>
      <c r="J143" s="80"/>
      <c r="K143" s="80">
        <v>78.511499999999998</v>
      </c>
      <c r="L143" s="80">
        <f>300+25</f>
        <v>325</v>
      </c>
      <c r="M143" s="79"/>
      <c r="N143" s="79">
        <v>27</v>
      </c>
      <c r="O143" s="79">
        <v>26.987203999999998</v>
      </c>
    </row>
    <row r="144" spans="1:15" x14ac:dyDescent="0.25">
      <c r="A144" s="35" t="s">
        <v>288</v>
      </c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79"/>
      <c r="N144" s="79"/>
      <c r="O144" s="79">
        <v>29.780999999999999</v>
      </c>
    </row>
    <row r="145" spans="1:15" x14ac:dyDescent="0.25">
      <c r="A145" s="35" t="s">
        <v>289</v>
      </c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79"/>
      <c r="N145" s="79"/>
      <c r="O145" s="79">
        <v>24.994121</v>
      </c>
    </row>
    <row r="146" spans="1:15" x14ac:dyDescent="0.25">
      <c r="A146" s="36" t="s">
        <v>114</v>
      </c>
      <c r="B146" s="90">
        <f>SUM(B139:B143)</f>
        <v>7.5</v>
      </c>
      <c r="C146" s="90">
        <f t="shared" ref="C146:M146" si="18">SUM(C139:C143)</f>
        <v>25</v>
      </c>
      <c r="D146" s="90">
        <f t="shared" si="18"/>
        <v>7.8</v>
      </c>
      <c r="E146" s="90">
        <f t="shared" si="18"/>
        <v>21.799999999999997</v>
      </c>
      <c r="F146" s="90">
        <f t="shared" si="18"/>
        <v>12.0801</v>
      </c>
      <c r="G146" s="90">
        <f t="shared" si="18"/>
        <v>23.028654</v>
      </c>
      <c r="H146" s="90">
        <f t="shared" si="18"/>
        <v>6.5407200000000003</v>
      </c>
      <c r="I146" s="90">
        <f t="shared" si="18"/>
        <v>6.0385850000000003</v>
      </c>
      <c r="J146" s="90">
        <f t="shared" si="18"/>
        <v>0</v>
      </c>
      <c r="K146" s="90">
        <f t="shared" si="18"/>
        <v>78.511499999999998</v>
      </c>
      <c r="L146" s="90">
        <f t="shared" si="18"/>
        <v>338.6</v>
      </c>
      <c r="M146" s="90">
        <f t="shared" si="18"/>
        <v>65.8</v>
      </c>
      <c r="N146" s="90">
        <f>SUM(N139:N143)</f>
        <v>77</v>
      </c>
      <c r="O146" s="90">
        <f>SUM(O139:O145)</f>
        <v>131.73876100000001</v>
      </c>
    </row>
    <row r="147" spans="1:15" x14ac:dyDescent="0.25">
      <c r="A147" s="49" t="s">
        <v>115</v>
      </c>
    </row>
    <row r="148" spans="1:15" x14ac:dyDescent="0.25">
      <c r="A148" s="50" t="s">
        <v>116</v>
      </c>
      <c r="B148" s="79">
        <v>34.4</v>
      </c>
      <c r="C148" s="79">
        <v>12.4</v>
      </c>
      <c r="D148" s="79">
        <v>42.8</v>
      </c>
      <c r="E148" s="79">
        <v>25.6</v>
      </c>
      <c r="F148" s="79">
        <f>15.0015+11.259</f>
        <v>26.2605</v>
      </c>
      <c r="G148" s="79">
        <v>23.357198</v>
      </c>
      <c r="H148" s="79">
        <f>12.8315+12.8235</f>
        <v>25.655000000000001</v>
      </c>
      <c r="I148" s="79">
        <f>5.587845+12.1546</f>
        <v>17.742445</v>
      </c>
      <c r="J148" s="79">
        <f>12.117424+6.261487+6.213007+16.317625</f>
        <v>40.909542999999999</v>
      </c>
      <c r="K148" s="79">
        <f>10.14585+19.629</f>
        <v>29.774850000000001</v>
      </c>
      <c r="L148" s="79">
        <v>48.9</v>
      </c>
      <c r="M148" s="79">
        <f>27.1+21.8+16.3</f>
        <v>65.2</v>
      </c>
      <c r="N148" s="79">
        <v>77</v>
      </c>
      <c r="O148" s="79">
        <f>23.8804+26.98722</f>
        <v>50.867620000000002</v>
      </c>
    </row>
    <row r="149" spans="1:15" x14ac:dyDescent="0.25">
      <c r="A149" s="50" t="s">
        <v>117</v>
      </c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>
        <v>49.7</v>
      </c>
      <c r="N149" s="79">
        <v>50</v>
      </c>
      <c r="O149" s="79">
        <v>49.976554999999998</v>
      </c>
    </row>
    <row r="150" spans="1:15" x14ac:dyDescent="0.25">
      <c r="A150" s="50" t="s">
        <v>118</v>
      </c>
      <c r="B150" s="79">
        <v>220</v>
      </c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</row>
    <row r="151" spans="1:15" x14ac:dyDescent="0.25">
      <c r="A151" s="50" t="s">
        <v>119</v>
      </c>
      <c r="B151" s="79"/>
      <c r="C151" s="79"/>
      <c r="D151" s="79"/>
      <c r="E151" s="79"/>
      <c r="F151" s="79"/>
      <c r="G151" s="79"/>
      <c r="H151" s="79">
        <v>11.073764000000001</v>
      </c>
      <c r="I151" s="79">
        <v>19.483978</v>
      </c>
      <c r="J151" s="79">
        <v>10.247185</v>
      </c>
      <c r="K151" s="79">
        <v>8.7717080000000003</v>
      </c>
      <c r="L151" s="79">
        <f>17.2+15.8+3.9</f>
        <v>36.9</v>
      </c>
      <c r="M151" s="79">
        <f>15.5+12.4+8.1+5.8</f>
        <v>41.8</v>
      </c>
      <c r="N151" s="79">
        <v>35.6</v>
      </c>
      <c r="O151" s="79">
        <f>34.072378+21.460319</f>
        <v>55.532696999999999</v>
      </c>
    </row>
    <row r="152" spans="1:15" x14ac:dyDescent="0.25">
      <c r="A152" s="51" t="s">
        <v>120</v>
      </c>
      <c r="B152" s="80"/>
      <c r="C152" s="80">
        <v>1.5</v>
      </c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</row>
    <row r="153" spans="1:15" x14ac:dyDescent="0.25">
      <c r="A153" s="52" t="s">
        <v>121</v>
      </c>
      <c r="B153" s="83">
        <f>SUM(B148:B152)</f>
        <v>254.4</v>
      </c>
      <c r="C153" s="83">
        <f t="shared" ref="C153:M153" si="19">SUM(C148:C152)</f>
        <v>13.9</v>
      </c>
      <c r="D153" s="83">
        <f t="shared" si="19"/>
        <v>42.8</v>
      </c>
      <c r="E153" s="83">
        <f t="shared" si="19"/>
        <v>25.6</v>
      </c>
      <c r="F153" s="83">
        <f t="shared" si="19"/>
        <v>26.2605</v>
      </c>
      <c r="G153" s="83">
        <f t="shared" si="19"/>
        <v>23.357198</v>
      </c>
      <c r="H153" s="83">
        <f t="shared" si="19"/>
        <v>36.728763999999998</v>
      </c>
      <c r="I153" s="83">
        <f t="shared" si="19"/>
        <v>37.226422999999997</v>
      </c>
      <c r="J153" s="83">
        <f t="shared" si="19"/>
        <v>51.156728000000001</v>
      </c>
      <c r="K153" s="83">
        <f t="shared" si="19"/>
        <v>38.546558000000005</v>
      </c>
      <c r="L153" s="83">
        <f t="shared" si="19"/>
        <v>85.8</v>
      </c>
      <c r="M153" s="83">
        <f t="shared" si="19"/>
        <v>156.69999999999999</v>
      </c>
      <c r="N153" s="83">
        <f>SUM(N148:N152)</f>
        <v>162.6</v>
      </c>
      <c r="O153" s="83">
        <f>SUM(O148:O152)</f>
        <v>156.37687199999999</v>
      </c>
    </row>
    <row r="154" spans="1:15" x14ac:dyDescent="0.25">
      <c r="A154" s="37" t="s">
        <v>122</v>
      </c>
    </row>
    <row r="155" spans="1:15" x14ac:dyDescent="0.25">
      <c r="A155" s="34" t="s">
        <v>123</v>
      </c>
      <c r="B155" s="79">
        <v>5.7</v>
      </c>
      <c r="C155" s="79">
        <v>4.4000000000000004</v>
      </c>
      <c r="D155" s="79">
        <v>5.9</v>
      </c>
      <c r="E155" s="79">
        <v>10.6</v>
      </c>
      <c r="F155" s="79">
        <v>11.5</v>
      </c>
      <c r="G155" s="79">
        <v>11.932</v>
      </c>
      <c r="H155" s="79">
        <v>11.4</v>
      </c>
      <c r="I155" s="79">
        <v>17.600000000000001</v>
      </c>
      <c r="J155" s="79">
        <v>11.122606809600001</v>
      </c>
      <c r="K155" s="79">
        <f>16.1*0.76</f>
        <v>12.236000000000001</v>
      </c>
      <c r="L155" s="79">
        <v>12.8</v>
      </c>
      <c r="M155" s="79">
        <v>12.8</v>
      </c>
      <c r="N155" s="79">
        <v>0</v>
      </c>
      <c r="O155" s="79"/>
    </row>
    <row r="156" spans="1:15" x14ac:dyDescent="0.25">
      <c r="A156" s="34" t="s">
        <v>124</v>
      </c>
      <c r="B156" s="79">
        <v>3.8</v>
      </c>
      <c r="C156" s="79">
        <v>5.9</v>
      </c>
      <c r="D156" s="79">
        <v>8.1</v>
      </c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</row>
    <row r="157" spans="1:15" x14ac:dyDescent="0.25">
      <c r="A157" s="34" t="s">
        <v>125</v>
      </c>
      <c r="B157" s="79">
        <v>9</v>
      </c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</row>
    <row r="158" spans="1:15" x14ac:dyDescent="0.25">
      <c r="A158" s="35" t="s">
        <v>126</v>
      </c>
      <c r="B158" s="80">
        <v>4.2</v>
      </c>
      <c r="C158" s="80">
        <v>4.4000000000000004</v>
      </c>
      <c r="D158" s="80">
        <v>8.1</v>
      </c>
      <c r="E158" s="80"/>
      <c r="F158" s="80"/>
      <c r="G158" s="80"/>
      <c r="H158" s="80"/>
      <c r="I158" s="80"/>
      <c r="J158" s="80"/>
      <c r="K158" s="79"/>
      <c r="L158" s="80"/>
      <c r="M158" s="79"/>
      <c r="N158" s="79"/>
      <c r="O158" s="79"/>
    </row>
    <row r="159" spans="1:15" x14ac:dyDescent="0.25">
      <c r="A159" s="36" t="s">
        <v>127</v>
      </c>
      <c r="B159" s="83">
        <f>SUM(B155:B158)</f>
        <v>22.7</v>
      </c>
      <c r="C159" s="83">
        <f t="shared" ref="C159:O159" si="20">SUM(C155:C158)</f>
        <v>14.700000000000001</v>
      </c>
      <c r="D159" s="83">
        <f t="shared" si="20"/>
        <v>22.1</v>
      </c>
      <c r="E159" s="83">
        <f t="shared" si="20"/>
        <v>10.6</v>
      </c>
      <c r="F159" s="83">
        <f t="shared" si="20"/>
        <v>11.5</v>
      </c>
      <c r="G159" s="83">
        <f t="shared" si="20"/>
        <v>11.932</v>
      </c>
      <c r="H159" s="83">
        <f t="shared" si="20"/>
        <v>11.4</v>
      </c>
      <c r="I159" s="83">
        <f t="shared" si="20"/>
        <v>17.600000000000001</v>
      </c>
      <c r="J159" s="83">
        <f t="shared" si="20"/>
        <v>11.122606809600001</v>
      </c>
      <c r="K159" s="83">
        <f t="shared" si="20"/>
        <v>12.236000000000001</v>
      </c>
      <c r="L159" s="83">
        <f t="shared" si="20"/>
        <v>12.8</v>
      </c>
      <c r="M159" s="83">
        <f t="shared" si="20"/>
        <v>12.8</v>
      </c>
      <c r="N159" s="83">
        <f t="shared" si="20"/>
        <v>0</v>
      </c>
      <c r="O159" s="83">
        <f t="shared" si="20"/>
        <v>0</v>
      </c>
    </row>
    <row r="160" spans="1:15" x14ac:dyDescent="0.25">
      <c r="A160" s="37" t="s">
        <v>128</v>
      </c>
    </row>
    <row r="161" spans="1:15" x14ac:dyDescent="0.25">
      <c r="A161" s="34" t="s">
        <v>129</v>
      </c>
      <c r="B161" s="79"/>
      <c r="C161" s="79"/>
      <c r="D161" s="79"/>
      <c r="E161" s="79"/>
      <c r="F161" s="79"/>
      <c r="G161" s="79">
        <v>6.0720000000000001</v>
      </c>
      <c r="H161" s="79">
        <v>8.3536803899999992</v>
      </c>
      <c r="I161" s="79">
        <v>9.0843220000000002</v>
      </c>
      <c r="J161" s="79">
        <v>6.28431871</v>
      </c>
      <c r="K161" s="79">
        <f>0.33*28.7</f>
        <v>9.4710000000000001</v>
      </c>
      <c r="L161" s="79">
        <v>7.9</v>
      </c>
      <c r="M161" s="79">
        <v>7.9</v>
      </c>
      <c r="N161" s="79">
        <v>7.2</v>
      </c>
      <c r="O161" s="79">
        <v>4.763325</v>
      </c>
    </row>
    <row r="162" spans="1:15" x14ac:dyDescent="0.25">
      <c r="A162" s="35" t="s">
        <v>130</v>
      </c>
      <c r="B162" s="80">
        <v>2.2999999999999998</v>
      </c>
      <c r="C162" s="80">
        <v>2</v>
      </c>
      <c r="D162" s="80">
        <v>4</v>
      </c>
      <c r="E162" s="80">
        <v>3.7</v>
      </c>
      <c r="F162" s="80">
        <v>3.9137110000000002</v>
      </c>
      <c r="G162" s="80">
        <v>4.6414759999999999</v>
      </c>
      <c r="H162" s="80">
        <v>4.1729880000000001</v>
      </c>
      <c r="I162" s="80">
        <v>4.727455</v>
      </c>
      <c r="J162" s="80">
        <v>2.8774000000000002</v>
      </c>
      <c r="K162" s="80">
        <v>2.6859860000000002</v>
      </c>
      <c r="L162" s="80"/>
      <c r="M162" s="80"/>
      <c r="N162" s="80">
        <v>5</v>
      </c>
      <c r="O162" s="80"/>
    </row>
    <row r="163" spans="1:15" x14ac:dyDescent="0.25">
      <c r="A163" s="36" t="s">
        <v>131</v>
      </c>
      <c r="B163" s="83">
        <f>SUM(B161:B162)</f>
        <v>2.2999999999999998</v>
      </c>
      <c r="C163" s="83">
        <f t="shared" ref="C163:M163" si="21">SUM(C161:C162)</f>
        <v>2</v>
      </c>
      <c r="D163" s="83">
        <f t="shared" si="21"/>
        <v>4</v>
      </c>
      <c r="E163" s="83">
        <f t="shared" si="21"/>
        <v>3.7</v>
      </c>
      <c r="F163" s="83">
        <f t="shared" si="21"/>
        <v>3.9137110000000002</v>
      </c>
      <c r="G163" s="83">
        <f t="shared" si="21"/>
        <v>10.713476</v>
      </c>
      <c r="H163" s="83">
        <f t="shared" si="21"/>
        <v>12.526668389999999</v>
      </c>
      <c r="I163" s="83">
        <f t="shared" si="21"/>
        <v>13.811776999999999</v>
      </c>
      <c r="J163" s="83">
        <f t="shared" si="21"/>
        <v>9.1617187100000006</v>
      </c>
      <c r="K163" s="83">
        <f t="shared" si="21"/>
        <v>12.156986</v>
      </c>
      <c r="L163" s="83">
        <f t="shared" si="21"/>
        <v>7.9</v>
      </c>
      <c r="M163" s="83">
        <f t="shared" si="21"/>
        <v>7.9</v>
      </c>
      <c r="N163" s="83">
        <f>SUM(N161:N162)</f>
        <v>12.2</v>
      </c>
      <c r="O163" s="83">
        <f>SUM(O161:O162)</f>
        <v>4.763325</v>
      </c>
    </row>
    <row r="164" spans="1:15" x14ac:dyDescent="0.25">
      <c r="A164" s="33" t="s">
        <v>132</v>
      </c>
    </row>
    <row r="165" spans="1:15" x14ac:dyDescent="0.25">
      <c r="A165" s="45" t="s">
        <v>133</v>
      </c>
      <c r="B165" s="79"/>
      <c r="C165" s="79">
        <v>6.1</v>
      </c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>
        <v>50</v>
      </c>
      <c r="O165" s="79">
        <f>12.2716+0.508015+18.6855</f>
        <v>31.465115000000001</v>
      </c>
    </row>
    <row r="166" spans="1:15" x14ac:dyDescent="0.25">
      <c r="A166" s="34" t="s">
        <v>134</v>
      </c>
      <c r="B166" s="79">
        <v>2</v>
      </c>
      <c r="C166" s="79">
        <v>2</v>
      </c>
      <c r="D166" s="79">
        <v>2</v>
      </c>
      <c r="E166" s="79">
        <v>2.4</v>
      </c>
      <c r="F166" s="79"/>
      <c r="G166" s="79"/>
      <c r="H166" s="79"/>
      <c r="I166" s="79"/>
      <c r="J166" s="79"/>
      <c r="K166" s="79"/>
      <c r="L166" s="79"/>
      <c r="M166" s="79"/>
      <c r="N166" s="79"/>
      <c r="O166" s="79"/>
    </row>
    <row r="167" spans="1:15" x14ac:dyDescent="0.25">
      <c r="A167" s="34" t="s">
        <v>135</v>
      </c>
      <c r="B167" s="79"/>
      <c r="C167" s="79">
        <v>2.9</v>
      </c>
      <c r="D167" s="79">
        <v>4.0999999999999996</v>
      </c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</row>
    <row r="168" spans="1:15" x14ac:dyDescent="0.25">
      <c r="A168" s="34" t="s">
        <v>136</v>
      </c>
      <c r="B168" s="79">
        <v>7</v>
      </c>
      <c r="C168" s="79">
        <v>6.2</v>
      </c>
      <c r="D168" s="79"/>
      <c r="E168" s="79"/>
      <c r="F168" s="79"/>
      <c r="G168" s="79">
        <v>2.3029999999999999</v>
      </c>
      <c r="H168" s="79">
        <v>2.3029980000000001</v>
      </c>
      <c r="I168" s="79">
        <v>2.3014999999999999</v>
      </c>
      <c r="J168" s="79">
        <v>2.3014999999999999</v>
      </c>
      <c r="K168" s="79">
        <v>2.3014999999999999</v>
      </c>
      <c r="L168" s="79">
        <v>2.2999999999999998</v>
      </c>
      <c r="M168" s="79">
        <v>3</v>
      </c>
      <c r="N168" s="79">
        <v>3</v>
      </c>
      <c r="O168" s="79">
        <v>3</v>
      </c>
    </row>
    <row r="169" spans="1:15" x14ac:dyDescent="0.25">
      <c r="A169" s="34" t="s">
        <v>137</v>
      </c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>
        <v>10.4</v>
      </c>
      <c r="O169" s="79">
        <v>12.351599999999999</v>
      </c>
    </row>
    <row r="170" spans="1:15" x14ac:dyDescent="0.25">
      <c r="A170" s="34" t="s">
        <v>138</v>
      </c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>
        <v>12.1</v>
      </c>
      <c r="O170" s="79"/>
    </row>
    <row r="171" spans="1:15" x14ac:dyDescent="0.25">
      <c r="A171" s="34" t="s">
        <v>139</v>
      </c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>
        <v>2.4</v>
      </c>
      <c r="O171" s="79">
        <v>2.4904000000000002</v>
      </c>
    </row>
    <row r="172" spans="1:15" x14ac:dyDescent="0.25">
      <c r="A172" s="34" t="s">
        <v>290</v>
      </c>
      <c r="B172" s="79">
        <f>7.8*15%</f>
        <v>1.17</v>
      </c>
      <c r="C172" s="79">
        <f>8.8*15%</f>
        <v>1.32</v>
      </c>
      <c r="D172" s="79">
        <v>1.25</v>
      </c>
      <c r="E172" s="79">
        <v>2.2799999999999998</v>
      </c>
      <c r="F172" s="79">
        <v>11.1</v>
      </c>
      <c r="G172" s="79">
        <v>13.44</v>
      </c>
      <c r="H172" s="79">
        <v>13.44</v>
      </c>
      <c r="I172" s="79">
        <v>12.5</v>
      </c>
      <c r="J172" s="79">
        <v>9.2403122990163897</v>
      </c>
      <c r="K172" s="79">
        <f>0.6*19.9</f>
        <v>11.94</v>
      </c>
      <c r="L172" s="79">
        <v>12.2</v>
      </c>
      <c r="M172" s="79">
        <v>12.2</v>
      </c>
      <c r="N172" s="79">
        <v>0</v>
      </c>
      <c r="O172" s="79"/>
    </row>
    <row r="173" spans="1:15" x14ac:dyDescent="0.25">
      <c r="A173" s="34" t="s">
        <v>140</v>
      </c>
      <c r="B173" s="79"/>
      <c r="C173" s="79"/>
      <c r="D173" s="79"/>
      <c r="E173" s="79"/>
      <c r="F173" s="79"/>
      <c r="G173" s="79"/>
      <c r="H173" s="79">
        <v>2.99137035</v>
      </c>
      <c r="I173" s="79">
        <v>9.6</v>
      </c>
      <c r="J173" s="79">
        <v>13.786</v>
      </c>
      <c r="K173" s="79">
        <v>12</v>
      </c>
      <c r="L173" s="79">
        <v>15.5</v>
      </c>
      <c r="M173" s="79">
        <v>15.5</v>
      </c>
      <c r="N173" s="79">
        <v>0</v>
      </c>
      <c r="O173" s="79"/>
    </row>
    <row r="174" spans="1:15" x14ac:dyDescent="0.25">
      <c r="A174" s="35" t="s">
        <v>141</v>
      </c>
      <c r="B174" s="79">
        <v>70</v>
      </c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</row>
    <row r="175" spans="1:15" x14ac:dyDescent="0.25">
      <c r="A175" s="35" t="s">
        <v>308</v>
      </c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>
        <v>38.989803000000002</v>
      </c>
    </row>
    <row r="176" spans="1:15" x14ac:dyDescent="0.25">
      <c r="A176" s="36" t="s">
        <v>142</v>
      </c>
      <c r="B176" s="81">
        <f t="shared" ref="B176:M176" si="22">SUM(B165:B174)</f>
        <v>80.17</v>
      </c>
      <c r="C176" s="81">
        <f t="shared" si="22"/>
        <v>18.52</v>
      </c>
      <c r="D176" s="81">
        <f t="shared" si="22"/>
        <v>7.35</v>
      </c>
      <c r="E176" s="81">
        <f t="shared" si="22"/>
        <v>4.68</v>
      </c>
      <c r="F176" s="81">
        <f t="shared" si="22"/>
        <v>11.1</v>
      </c>
      <c r="G176" s="81">
        <f t="shared" si="22"/>
        <v>15.742999999999999</v>
      </c>
      <c r="H176" s="81">
        <f t="shared" si="22"/>
        <v>18.73436835</v>
      </c>
      <c r="I176" s="81">
        <f t="shared" si="22"/>
        <v>24.401499999999999</v>
      </c>
      <c r="J176" s="81">
        <f t="shared" si="22"/>
        <v>25.327812299016387</v>
      </c>
      <c r="K176" s="81">
        <f t="shared" si="22"/>
        <v>26.241499999999998</v>
      </c>
      <c r="L176" s="81">
        <f t="shared" si="22"/>
        <v>30</v>
      </c>
      <c r="M176" s="81">
        <f t="shared" si="22"/>
        <v>30.7</v>
      </c>
      <c r="N176" s="81">
        <f>SUM(N165:N174)</f>
        <v>77.900000000000006</v>
      </c>
      <c r="O176" s="81">
        <f>SUM(O165:O175)</f>
        <v>88.296918000000005</v>
      </c>
    </row>
    <row r="177" spans="1:15" ht="15.75" thickBot="1" x14ac:dyDescent="0.3">
      <c r="A177" s="53" t="s">
        <v>143</v>
      </c>
      <c r="B177" s="89">
        <f t="shared" ref="B177:M177" si="23">B176+B163+B159+B153+B146+B137+B132+B123+B118+B111+B93+B77+B67+B56</f>
        <v>629.76999999999987</v>
      </c>
      <c r="C177" s="89">
        <f t="shared" si="23"/>
        <v>372.82</v>
      </c>
      <c r="D177" s="89">
        <f t="shared" si="23"/>
        <v>476.47400000000005</v>
      </c>
      <c r="E177" s="89">
        <f t="shared" si="23"/>
        <v>641.28000000000009</v>
      </c>
      <c r="F177" s="89">
        <f t="shared" si="23"/>
        <v>571.63132099999996</v>
      </c>
      <c r="G177" s="89">
        <f t="shared" si="23"/>
        <v>542.66320199999996</v>
      </c>
      <c r="H177" s="89">
        <f t="shared" si="23"/>
        <v>569.6091474399999</v>
      </c>
      <c r="I177" s="89">
        <f t="shared" si="23"/>
        <v>743.12985139</v>
      </c>
      <c r="J177" s="89">
        <f t="shared" si="23"/>
        <v>668.52008727861642</v>
      </c>
      <c r="K177" s="89">
        <f t="shared" si="23"/>
        <v>791.97285613999998</v>
      </c>
      <c r="L177" s="89">
        <f t="shared" si="23"/>
        <v>1190.3</v>
      </c>
      <c r="M177" s="89">
        <f t="shared" si="23"/>
        <v>1043.1999999999998</v>
      </c>
      <c r="N177" s="89">
        <f>N176+N163+N159+N153+N146+N137+N132+N123+N118+N111+N93+N77+N67+N56</f>
        <v>1197.6000000000001</v>
      </c>
      <c r="O177" s="89">
        <f>O176+O163+O159+O153+O146+O137+O132+O123+O118+O111+O93+O77+O67+O57+O59+O58</f>
        <v>1463.554875</v>
      </c>
    </row>
    <row r="178" spans="1:15" ht="16.5" thickTop="1" thickBot="1" x14ac:dyDescent="0.3">
      <c r="A178" s="28"/>
    </row>
    <row r="179" spans="1:15" ht="15.75" thickBot="1" x14ac:dyDescent="0.3">
      <c r="A179" s="54" t="s">
        <v>144</v>
      </c>
      <c r="B179" s="78">
        <v>2006</v>
      </c>
      <c r="C179" s="77">
        <v>2007</v>
      </c>
      <c r="D179" s="78">
        <v>2008</v>
      </c>
      <c r="E179" s="77">
        <v>2009</v>
      </c>
      <c r="F179" s="78">
        <v>2010</v>
      </c>
      <c r="G179" s="77">
        <v>2011</v>
      </c>
      <c r="H179" s="78">
        <v>2012</v>
      </c>
      <c r="I179" s="77">
        <v>2013</v>
      </c>
      <c r="J179" s="78">
        <v>2014</v>
      </c>
      <c r="K179" s="77">
        <v>2015</v>
      </c>
      <c r="L179" s="78">
        <v>2016</v>
      </c>
      <c r="M179" s="77">
        <v>2017</v>
      </c>
      <c r="N179" s="77">
        <v>2018</v>
      </c>
      <c r="O179" s="77">
        <v>2019</v>
      </c>
    </row>
    <row r="180" spans="1:15" x14ac:dyDescent="0.25">
      <c r="A180" s="33" t="s">
        <v>132</v>
      </c>
    </row>
    <row r="181" spans="1:15" x14ac:dyDescent="0.25">
      <c r="A181" s="45" t="s">
        <v>145</v>
      </c>
      <c r="B181" s="79">
        <v>205.4</v>
      </c>
      <c r="C181" s="79">
        <v>205.4</v>
      </c>
      <c r="D181" s="79">
        <v>205.4</v>
      </c>
      <c r="E181" s="79">
        <v>235</v>
      </c>
      <c r="F181" s="79">
        <v>234.1</v>
      </c>
      <c r="G181" s="79">
        <v>234.1</v>
      </c>
      <c r="H181" s="79">
        <v>204.02</v>
      </c>
      <c r="I181" s="79">
        <v>204.02</v>
      </c>
      <c r="J181" s="79">
        <v>204.02</v>
      </c>
      <c r="K181" s="79">
        <v>506.2</v>
      </c>
      <c r="L181" s="79">
        <v>506</v>
      </c>
      <c r="M181" s="79">
        <v>506.2</v>
      </c>
      <c r="N181" s="79">
        <v>716</v>
      </c>
      <c r="O181" s="79">
        <v>414.27</v>
      </c>
    </row>
    <row r="182" spans="1:15" x14ac:dyDescent="0.25">
      <c r="A182" s="45" t="s">
        <v>146</v>
      </c>
      <c r="B182" s="79"/>
      <c r="C182" s="79"/>
      <c r="D182" s="79"/>
      <c r="E182" s="79"/>
      <c r="F182" s="79"/>
      <c r="G182" s="79"/>
      <c r="H182" s="79"/>
      <c r="I182" s="79"/>
      <c r="J182" s="79">
        <v>110.75493299999999</v>
      </c>
      <c r="K182" s="79">
        <v>115.5</v>
      </c>
      <c r="L182" s="79">
        <v>105.5</v>
      </c>
      <c r="M182" s="79">
        <v>105.5</v>
      </c>
      <c r="N182" s="79">
        <v>0</v>
      </c>
      <c r="O182" s="79"/>
    </row>
    <row r="183" spans="1:15" x14ac:dyDescent="0.25">
      <c r="A183" s="45" t="s">
        <v>147</v>
      </c>
      <c r="B183" s="79">
        <v>17.5</v>
      </c>
      <c r="C183" s="79"/>
      <c r="D183" s="79"/>
      <c r="E183" s="79"/>
      <c r="F183" s="79"/>
      <c r="G183" s="79"/>
      <c r="H183" s="79">
        <v>3.5919289999999999</v>
      </c>
      <c r="I183" s="79">
        <v>7.3452679999999999</v>
      </c>
      <c r="J183" s="79">
        <v>3.8891439999999999</v>
      </c>
      <c r="K183" s="79">
        <f>3.342657-0.832029</f>
        <v>2.5106280000000001</v>
      </c>
      <c r="L183" s="79">
        <v>6.1</v>
      </c>
      <c r="M183" s="79">
        <v>3.3</v>
      </c>
      <c r="N183" s="79">
        <v>0</v>
      </c>
      <c r="O183" s="79"/>
    </row>
    <row r="184" spans="1:15" x14ac:dyDescent="0.25">
      <c r="A184" s="55" t="s">
        <v>148</v>
      </c>
      <c r="B184" s="79">
        <v>30</v>
      </c>
      <c r="C184" s="79">
        <v>12.2</v>
      </c>
      <c r="D184" s="79">
        <v>18.5</v>
      </c>
      <c r="E184" s="79">
        <v>24.5</v>
      </c>
      <c r="F184" s="79"/>
      <c r="G184" s="79"/>
      <c r="H184" s="79"/>
      <c r="I184" s="79"/>
      <c r="J184" s="79"/>
      <c r="K184" s="79"/>
      <c r="L184" s="79"/>
      <c r="M184" s="79"/>
      <c r="N184" s="79"/>
      <c r="O184" s="79"/>
    </row>
    <row r="185" spans="1:15" x14ac:dyDescent="0.25">
      <c r="A185" s="56" t="s">
        <v>149</v>
      </c>
      <c r="B185" s="79">
        <v>4.9000000000000004</v>
      </c>
      <c r="C185" s="79">
        <v>3.7</v>
      </c>
      <c r="D185" s="79">
        <v>5.6</v>
      </c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</row>
    <row r="186" spans="1:15" x14ac:dyDescent="0.25">
      <c r="A186" s="55" t="s">
        <v>150</v>
      </c>
      <c r="B186" s="79">
        <v>9.8000000000000007</v>
      </c>
      <c r="C186" s="79">
        <v>13</v>
      </c>
      <c r="D186" s="79">
        <v>13.2</v>
      </c>
      <c r="E186" s="79">
        <v>15.5</v>
      </c>
      <c r="F186" s="79">
        <v>15.5</v>
      </c>
      <c r="G186" s="79">
        <v>19.12</v>
      </c>
      <c r="H186" s="79">
        <v>22.65</v>
      </c>
      <c r="I186" s="79">
        <v>24.86</v>
      </c>
      <c r="J186" s="79">
        <v>26.27</v>
      </c>
      <c r="K186" s="79">
        <v>56.46</v>
      </c>
      <c r="L186" s="79">
        <v>47.6</v>
      </c>
      <c r="M186" s="79">
        <v>43.1</v>
      </c>
      <c r="N186" s="79">
        <v>44.8</v>
      </c>
      <c r="O186" s="79">
        <v>56.87</v>
      </c>
    </row>
    <row r="187" spans="1:15" x14ac:dyDescent="0.25">
      <c r="A187" s="56" t="s">
        <v>298</v>
      </c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>
        <v>63.048895999999999</v>
      </c>
    </row>
    <row r="188" spans="1:15" x14ac:dyDescent="0.25">
      <c r="A188" s="57" t="s">
        <v>142</v>
      </c>
      <c r="B188" s="90">
        <f t="shared" ref="B188:M188" si="24">SUM(B181:B186)</f>
        <v>267.60000000000002</v>
      </c>
      <c r="C188" s="90">
        <f t="shared" si="24"/>
        <v>234.29999999999998</v>
      </c>
      <c r="D188" s="90">
        <f t="shared" si="24"/>
        <v>242.7</v>
      </c>
      <c r="E188" s="90">
        <f t="shared" si="24"/>
        <v>275</v>
      </c>
      <c r="F188" s="90">
        <f t="shared" si="24"/>
        <v>249.6</v>
      </c>
      <c r="G188" s="90">
        <f t="shared" si="24"/>
        <v>253.22</v>
      </c>
      <c r="H188" s="90">
        <f t="shared" si="24"/>
        <v>230.26192900000001</v>
      </c>
      <c r="I188" s="90">
        <f t="shared" si="24"/>
        <v>236.22526800000003</v>
      </c>
      <c r="J188" s="90">
        <f t="shared" si="24"/>
        <v>344.934077</v>
      </c>
      <c r="K188" s="90">
        <f t="shared" si="24"/>
        <v>680.67062800000008</v>
      </c>
      <c r="L188" s="90">
        <f t="shared" si="24"/>
        <v>665.2</v>
      </c>
      <c r="M188" s="90">
        <f t="shared" si="24"/>
        <v>658.1</v>
      </c>
      <c r="N188" s="90">
        <f>SUM(N181:N186)</f>
        <v>760.8</v>
      </c>
      <c r="O188" s="90">
        <f>SUM(O181:O187)</f>
        <v>534.188896</v>
      </c>
    </row>
    <row r="189" spans="1:15" x14ac:dyDescent="0.25">
      <c r="A189" s="58" t="s">
        <v>151</v>
      </c>
    </row>
    <row r="190" spans="1:15" x14ac:dyDescent="0.25">
      <c r="A190" s="45" t="s">
        <v>295</v>
      </c>
      <c r="B190" s="79">
        <v>23.5</v>
      </c>
      <c r="C190" s="79">
        <v>20.8</v>
      </c>
      <c r="D190" s="79">
        <v>30.9</v>
      </c>
      <c r="E190" s="79">
        <v>69.599999999999994</v>
      </c>
      <c r="F190" s="79">
        <f>40.238556+21.456452</f>
        <v>61.695008000000001</v>
      </c>
      <c r="G190" s="79">
        <v>0.46393200000000001</v>
      </c>
      <c r="H190" s="79">
        <v>12.9244</v>
      </c>
      <c r="I190" s="79"/>
      <c r="J190" s="79"/>
      <c r="K190" s="79"/>
      <c r="L190" s="79"/>
      <c r="M190" s="82">
        <v>20.9</v>
      </c>
      <c r="N190" s="100">
        <v>20.5</v>
      </c>
      <c r="O190" s="100">
        <v>44.299892</v>
      </c>
    </row>
    <row r="191" spans="1:15" x14ac:dyDescent="0.25">
      <c r="A191" s="45" t="s">
        <v>152</v>
      </c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>
        <v>48.6</v>
      </c>
      <c r="O191" s="79">
        <v>48.688800000000001</v>
      </c>
    </row>
    <row r="192" spans="1:15" x14ac:dyDescent="0.25">
      <c r="A192" s="55" t="s">
        <v>153</v>
      </c>
      <c r="B192" s="79">
        <v>21.6</v>
      </c>
      <c r="C192" s="79">
        <v>13.8</v>
      </c>
      <c r="D192" s="79">
        <v>33.9</v>
      </c>
      <c r="E192" s="79">
        <v>50.2</v>
      </c>
      <c r="F192" s="79">
        <f>33.777+18.69705</f>
        <v>52.474050000000005</v>
      </c>
      <c r="G192" s="79">
        <v>37.491500000000002</v>
      </c>
      <c r="H192" s="79">
        <f>38.7609+15.499141</f>
        <v>54.260041000000001</v>
      </c>
      <c r="I192" s="79">
        <v>40.141413999999997</v>
      </c>
      <c r="J192" s="79">
        <v>71.775400000000005</v>
      </c>
      <c r="K192" s="79">
        <v>38.977499999999999</v>
      </c>
      <c r="L192" s="79">
        <v>69</v>
      </c>
      <c r="M192" s="79">
        <v>32</v>
      </c>
      <c r="N192" s="79">
        <v>84</v>
      </c>
      <c r="O192" s="79">
        <v>36.803100000000001</v>
      </c>
    </row>
    <row r="193" spans="1:15" x14ac:dyDescent="0.25">
      <c r="A193" s="55" t="s">
        <v>154</v>
      </c>
      <c r="B193" s="79"/>
      <c r="C193" s="79"/>
      <c r="D193" s="79">
        <v>14.9</v>
      </c>
      <c r="E193" s="79">
        <v>35</v>
      </c>
      <c r="F193" s="79">
        <v>51.95926</v>
      </c>
      <c r="G193" s="79"/>
      <c r="H193" s="79">
        <v>19.334849999999999</v>
      </c>
      <c r="I193" s="79">
        <v>18.777819999999998</v>
      </c>
      <c r="J193" s="79">
        <v>18.275559999999999</v>
      </c>
      <c r="K193" s="79">
        <v>52.341500000000003</v>
      </c>
      <c r="L193" s="79">
        <v>23</v>
      </c>
      <c r="M193" s="79">
        <v>20.7</v>
      </c>
      <c r="N193" s="79">
        <v>24</v>
      </c>
      <c r="O193" s="79">
        <v>25.233499999999999</v>
      </c>
    </row>
    <row r="194" spans="1:15" x14ac:dyDescent="0.25">
      <c r="A194" s="59" t="s">
        <v>155</v>
      </c>
      <c r="B194" s="79"/>
      <c r="C194" s="79"/>
      <c r="D194" s="79"/>
      <c r="E194" s="79"/>
      <c r="F194" s="79"/>
      <c r="G194" s="79"/>
      <c r="H194" s="79">
        <v>2.6594709999999999</v>
      </c>
      <c r="I194" s="79">
        <v>1.7120390000000001</v>
      </c>
      <c r="J194" s="79">
        <v>0.50255899999999998</v>
      </c>
      <c r="K194" s="79"/>
      <c r="L194" s="79"/>
      <c r="M194" s="79"/>
      <c r="N194" s="79"/>
      <c r="O194" s="79"/>
    </row>
    <row r="195" spans="1:15" x14ac:dyDescent="0.25">
      <c r="A195" s="60" t="s">
        <v>156</v>
      </c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80">
        <v>2.9</v>
      </c>
      <c r="O195" s="80"/>
    </row>
    <row r="196" spans="1:15" x14ac:dyDescent="0.25">
      <c r="A196" s="60" t="s">
        <v>305</v>
      </c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80"/>
      <c r="O196" s="80">
        <v>8.1068730000000002</v>
      </c>
    </row>
    <row r="197" spans="1:15" x14ac:dyDescent="0.25">
      <c r="A197" s="57" t="s">
        <v>157</v>
      </c>
      <c r="B197" s="83">
        <f>SUM(B190:B195)</f>
        <v>45.1</v>
      </c>
      <c r="C197" s="83">
        <f t="shared" ref="C197:M197" si="25">SUM(C190:C195)</f>
        <v>34.6</v>
      </c>
      <c r="D197" s="83">
        <f t="shared" si="25"/>
        <v>79.7</v>
      </c>
      <c r="E197" s="83">
        <f t="shared" si="25"/>
        <v>154.80000000000001</v>
      </c>
      <c r="F197" s="83">
        <f t="shared" si="25"/>
        <v>166.12831800000001</v>
      </c>
      <c r="G197" s="83">
        <f t="shared" si="25"/>
        <v>37.955432000000002</v>
      </c>
      <c r="H197" s="83">
        <f t="shared" si="25"/>
        <v>89.178762000000006</v>
      </c>
      <c r="I197" s="83">
        <f t="shared" si="25"/>
        <v>60.631272999999993</v>
      </c>
      <c r="J197" s="83">
        <f t="shared" si="25"/>
        <v>90.553519000000009</v>
      </c>
      <c r="K197" s="83">
        <f t="shared" si="25"/>
        <v>91.319000000000003</v>
      </c>
      <c r="L197" s="83">
        <f t="shared" si="25"/>
        <v>92</v>
      </c>
      <c r="M197" s="83">
        <f t="shared" si="25"/>
        <v>73.599999999999994</v>
      </c>
      <c r="N197" s="83">
        <f>SUM(N190:N195)</f>
        <v>180</v>
      </c>
      <c r="O197" s="83">
        <f>SUM(O190:O196)</f>
        <v>163.13216499999999</v>
      </c>
    </row>
    <row r="198" spans="1:15" x14ac:dyDescent="0.25">
      <c r="A198" s="58" t="s">
        <v>158</v>
      </c>
    </row>
    <row r="199" spans="1:15" x14ac:dyDescent="0.25">
      <c r="A199" s="55" t="s">
        <v>159</v>
      </c>
      <c r="B199" s="79">
        <v>11.2</v>
      </c>
      <c r="C199" s="79"/>
      <c r="D199" s="79"/>
      <c r="E199" s="79">
        <v>25.2</v>
      </c>
      <c r="F199" s="79"/>
      <c r="G199" s="79"/>
      <c r="H199" s="79"/>
      <c r="I199" s="79"/>
      <c r="J199" s="79"/>
      <c r="K199" s="79"/>
      <c r="L199" s="79"/>
      <c r="M199" s="79"/>
      <c r="N199" s="79"/>
      <c r="O199" s="79"/>
    </row>
    <row r="200" spans="1:15" x14ac:dyDescent="0.25">
      <c r="A200" s="55" t="s">
        <v>160</v>
      </c>
      <c r="B200" s="79">
        <v>3.6</v>
      </c>
      <c r="C200" s="79"/>
      <c r="D200" s="79">
        <v>4.9000000000000004</v>
      </c>
      <c r="E200" s="79">
        <v>5.8</v>
      </c>
      <c r="F200" s="79">
        <v>5.7201500000000003</v>
      </c>
      <c r="G200" s="79"/>
      <c r="H200" s="79"/>
      <c r="I200" s="79"/>
      <c r="J200" s="79">
        <v>6.5279499999999997</v>
      </c>
      <c r="K200" s="79">
        <v>6.4889999999999999</v>
      </c>
      <c r="L200" s="79">
        <v>5.7</v>
      </c>
      <c r="M200" s="79">
        <v>5.3</v>
      </c>
      <c r="N200" s="79">
        <v>12.1</v>
      </c>
      <c r="O200" s="79">
        <v>12.134</v>
      </c>
    </row>
    <row r="201" spans="1:15" x14ac:dyDescent="0.25">
      <c r="A201" s="55" t="s">
        <v>161</v>
      </c>
      <c r="B201" s="79"/>
      <c r="C201" s="79"/>
      <c r="D201" s="79"/>
      <c r="E201" s="79"/>
      <c r="F201" s="79"/>
      <c r="G201" s="79"/>
      <c r="H201" s="79">
        <f>29.2061</f>
        <v>29.206099999999999</v>
      </c>
      <c r="I201" s="79">
        <v>80.932699999999997</v>
      </c>
      <c r="J201" s="79">
        <v>44.870620000000002</v>
      </c>
      <c r="K201" s="79"/>
      <c r="L201" s="79">
        <v>17</v>
      </c>
      <c r="M201" s="79">
        <v>44.7</v>
      </c>
      <c r="N201" s="79">
        <v>69.3</v>
      </c>
      <c r="O201" s="79">
        <v>117.93304999999999</v>
      </c>
    </row>
    <row r="202" spans="1:15" x14ac:dyDescent="0.25">
      <c r="A202" s="56" t="s">
        <v>162</v>
      </c>
      <c r="B202" s="80">
        <v>10</v>
      </c>
      <c r="C202" s="80">
        <v>10</v>
      </c>
      <c r="D202" s="80">
        <v>8.1</v>
      </c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</row>
    <row r="203" spans="1:15" ht="15.75" thickBot="1" x14ac:dyDescent="0.3">
      <c r="A203" s="57" t="s">
        <v>163</v>
      </c>
      <c r="B203" s="81">
        <f t="shared" ref="B203:O203" si="26">SUM(B199:B202)</f>
        <v>24.799999999999997</v>
      </c>
      <c r="C203" s="81">
        <f t="shared" si="26"/>
        <v>10</v>
      </c>
      <c r="D203" s="81">
        <f t="shared" si="26"/>
        <v>13</v>
      </c>
      <c r="E203" s="81">
        <f t="shared" si="26"/>
        <v>31</v>
      </c>
      <c r="F203" s="81">
        <f t="shared" si="26"/>
        <v>5.7201500000000003</v>
      </c>
      <c r="G203" s="81">
        <f t="shared" si="26"/>
        <v>0</v>
      </c>
      <c r="H203" s="81">
        <f t="shared" si="26"/>
        <v>29.206099999999999</v>
      </c>
      <c r="I203" s="81">
        <f t="shared" si="26"/>
        <v>80.932699999999997</v>
      </c>
      <c r="J203" s="81">
        <f t="shared" si="26"/>
        <v>51.398569999999999</v>
      </c>
      <c r="K203" s="81">
        <f t="shared" si="26"/>
        <v>6.4889999999999999</v>
      </c>
      <c r="L203" s="81">
        <f t="shared" si="26"/>
        <v>22.7</v>
      </c>
      <c r="M203" s="81">
        <f t="shared" si="26"/>
        <v>50</v>
      </c>
      <c r="N203" s="81">
        <f>SUM(N199:N202)</f>
        <v>81.399999999999991</v>
      </c>
      <c r="O203" s="81">
        <f t="shared" si="26"/>
        <v>130.06704999999999</v>
      </c>
    </row>
    <row r="204" spans="1:15" ht="15.75" thickBot="1" x14ac:dyDescent="0.3">
      <c r="A204" s="61" t="s">
        <v>164</v>
      </c>
      <c r="B204" s="92">
        <f t="shared" ref="B204:O204" si="27">B188+B197+B203</f>
        <v>337.50000000000006</v>
      </c>
      <c r="C204" s="92">
        <f t="shared" si="27"/>
        <v>278.89999999999998</v>
      </c>
      <c r="D204" s="92">
        <f t="shared" si="27"/>
        <v>335.4</v>
      </c>
      <c r="E204" s="92">
        <f t="shared" si="27"/>
        <v>460.8</v>
      </c>
      <c r="F204" s="92">
        <f t="shared" si="27"/>
        <v>421.44846799999999</v>
      </c>
      <c r="G204" s="92">
        <f t="shared" si="27"/>
        <v>291.175432</v>
      </c>
      <c r="H204" s="92">
        <f t="shared" si="27"/>
        <v>348.64679100000001</v>
      </c>
      <c r="I204" s="92">
        <f t="shared" si="27"/>
        <v>377.789241</v>
      </c>
      <c r="J204" s="92">
        <f t="shared" si="27"/>
        <v>486.886166</v>
      </c>
      <c r="K204" s="92">
        <f t="shared" si="27"/>
        <v>778.47862800000007</v>
      </c>
      <c r="L204" s="92">
        <f t="shared" si="27"/>
        <v>779.90000000000009</v>
      </c>
      <c r="M204" s="92">
        <f t="shared" si="27"/>
        <v>781.7</v>
      </c>
      <c r="N204" s="92">
        <f>N188+N197+N203</f>
        <v>1022.1999999999999</v>
      </c>
      <c r="O204" s="92">
        <f t="shared" si="27"/>
        <v>827.38811099999998</v>
      </c>
    </row>
    <row r="205" spans="1:15" ht="16.5" thickTop="1" thickBot="1" x14ac:dyDescent="0.3">
      <c r="A205" s="28"/>
    </row>
    <row r="206" spans="1:15" ht="15.75" thickBot="1" x14ac:dyDescent="0.3">
      <c r="A206" s="62" t="s">
        <v>165</v>
      </c>
      <c r="B206" s="78">
        <v>2006</v>
      </c>
      <c r="C206" s="77">
        <v>2007</v>
      </c>
      <c r="D206" s="78">
        <v>2008</v>
      </c>
      <c r="E206" s="77">
        <v>2009</v>
      </c>
      <c r="F206" s="78">
        <v>2010</v>
      </c>
      <c r="G206" s="77">
        <v>2011</v>
      </c>
      <c r="H206" s="78">
        <v>2012</v>
      </c>
      <c r="I206" s="77">
        <v>2013</v>
      </c>
      <c r="J206" s="78">
        <v>2014</v>
      </c>
      <c r="K206" s="77">
        <v>2015</v>
      </c>
      <c r="L206" s="78">
        <v>2016</v>
      </c>
      <c r="M206" s="77">
        <v>2017</v>
      </c>
      <c r="N206" s="77">
        <v>2017</v>
      </c>
      <c r="O206" s="77">
        <v>2019</v>
      </c>
    </row>
    <row r="207" spans="1:15" x14ac:dyDescent="0.25">
      <c r="A207" s="33" t="s">
        <v>132</v>
      </c>
    </row>
    <row r="208" spans="1:15" x14ac:dyDescent="0.25">
      <c r="A208" s="45" t="s">
        <v>166</v>
      </c>
      <c r="B208" s="79">
        <v>3.5</v>
      </c>
      <c r="C208" s="79">
        <v>3</v>
      </c>
      <c r="D208" s="79">
        <v>3</v>
      </c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</row>
    <row r="209" spans="1:15" x14ac:dyDescent="0.25">
      <c r="A209" s="45" t="s">
        <v>167</v>
      </c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>
        <v>1.4</v>
      </c>
      <c r="O209" s="79"/>
    </row>
    <row r="210" spans="1:15" x14ac:dyDescent="0.25">
      <c r="A210" s="45" t="s">
        <v>168</v>
      </c>
      <c r="B210" s="79">
        <v>30.5</v>
      </c>
      <c r="C210" s="79"/>
      <c r="D210" s="79">
        <v>35</v>
      </c>
      <c r="E210" s="79">
        <v>134.30000000000001</v>
      </c>
      <c r="F210" s="79">
        <v>18.600000000000001</v>
      </c>
      <c r="G210" s="79">
        <v>64</v>
      </c>
      <c r="H210" s="79">
        <v>41.587949999999999</v>
      </c>
      <c r="I210" s="79">
        <v>30.2</v>
      </c>
      <c r="J210" s="79">
        <v>31</v>
      </c>
      <c r="K210" s="79">
        <v>31</v>
      </c>
      <c r="L210" s="79"/>
      <c r="M210" s="79"/>
      <c r="N210" s="79">
        <v>8.6</v>
      </c>
      <c r="O210" s="79">
        <v>3.2875000000000001</v>
      </c>
    </row>
    <row r="211" spans="1:15" x14ac:dyDescent="0.25">
      <c r="A211" s="45" t="s">
        <v>169</v>
      </c>
      <c r="B211" s="79">
        <v>5</v>
      </c>
      <c r="C211" s="79">
        <v>35</v>
      </c>
      <c r="D211" s="79">
        <v>18.399999999999999</v>
      </c>
      <c r="E211" s="79">
        <v>0</v>
      </c>
      <c r="F211" s="79"/>
      <c r="G211" s="79"/>
      <c r="H211" s="79"/>
      <c r="I211" s="79"/>
      <c r="J211" s="79"/>
      <c r="K211" s="79"/>
      <c r="L211" s="79"/>
      <c r="M211" s="79"/>
      <c r="N211" s="79"/>
      <c r="O211" s="79"/>
    </row>
    <row r="212" spans="1:15" x14ac:dyDescent="0.25">
      <c r="A212" s="45" t="s">
        <v>170</v>
      </c>
      <c r="B212" s="79">
        <v>3.4</v>
      </c>
      <c r="C212" s="79">
        <v>3.9</v>
      </c>
      <c r="D212" s="79">
        <v>14.8</v>
      </c>
      <c r="E212" s="79"/>
      <c r="F212" s="79">
        <v>10.541700000000001</v>
      </c>
      <c r="G212" s="79">
        <v>10</v>
      </c>
      <c r="H212" s="79">
        <v>10</v>
      </c>
      <c r="I212" s="79">
        <v>10</v>
      </c>
      <c r="J212" s="79">
        <v>10</v>
      </c>
      <c r="K212" s="79">
        <v>10</v>
      </c>
      <c r="L212" s="79">
        <v>10</v>
      </c>
      <c r="M212" s="79">
        <v>10</v>
      </c>
      <c r="N212" s="79">
        <v>20</v>
      </c>
      <c r="O212" s="79">
        <f>19.994502+19.994</f>
        <v>39.988501999999997</v>
      </c>
    </row>
    <row r="213" spans="1:15" x14ac:dyDescent="0.25">
      <c r="A213" s="45" t="s">
        <v>171</v>
      </c>
      <c r="B213" s="79"/>
      <c r="C213" s="79"/>
      <c r="D213" s="79"/>
      <c r="E213" s="79"/>
      <c r="F213" s="79"/>
      <c r="G213" s="79">
        <v>6.0361190000000002</v>
      </c>
      <c r="H213" s="79">
        <f>1.255+0.641018</f>
        <v>1.8960179999999998</v>
      </c>
      <c r="I213" s="79">
        <v>2.529487</v>
      </c>
      <c r="J213" s="79">
        <v>8.5</v>
      </c>
      <c r="K213" s="79">
        <f>6+1.502242</f>
        <v>7.5022419999999999</v>
      </c>
      <c r="L213" s="79"/>
      <c r="M213" s="79"/>
      <c r="N213" s="79"/>
      <c r="O213" s="79"/>
    </row>
    <row r="214" spans="1:15" x14ac:dyDescent="0.25">
      <c r="A214" s="45" t="s">
        <v>172</v>
      </c>
      <c r="B214" s="79"/>
      <c r="C214" s="79"/>
      <c r="D214" s="79"/>
      <c r="E214" s="79"/>
      <c r="F214" s="79"/>
      <c r="G214" s="79"/>
      <c r="H214" s="79"/>
      <c r="I214" s="79">
        <v>32.576341999999997</v>
      </c>
      <c r="J214" s="79">
        <v>28.909364400000001</v>
      </c>
      <c r="K214" s="79">
        <f>0.4*72.1</f>
        <v>28.84</v>
      </c>
      <c r="L214" s="79">
        <v>26.6</v>
      </c>
      <c r="M214" s="79">
        <v>26.6</v>
      </c>
      <c r="N214" s="79">
        <v>24</v>
      </c>
      <c r="O214" s="79">
        <v>28.179874000000002</v>
      </c>
    </row>
    <row r="215" spans="1:15" x14ac:dyDescent="0.25">
      <c r="A215" s="45" t="s">
        <v>173</v>
      </c>
      <c r="B215" s="79"/>
      <c r="C215" s="79"/>
      <c r="D215" s="79"/>
      <c r="E215" s="79"/>
      <c r="F215" s="79"/>
      <c r="G215" s="79"/>
      <c r="H215" s="79"/>
      <c r="I215" s="79">
        <v>16.786489</v>
      </c>
      <c r="J215" s="79">
        <v>18.620450999999999</v>
      </c>
      <c r="K215" s="79">
        <v>17.448754999999998</v>
      </c>
      <c r="L215" s="79">
        <v>2.2999999999999998</v>
      </c>
      <c r="M215" s="79">
        <v>17.448754999999998</v>
      </c>
      <c r="N215" s="79"/>
      <c r="O215" s="79">
        <v>6.6953899999999997</v>
      </c>
    </row>
    <row r="216" spans="1:15" x14ac:dyDescent="0.25">
      <c r="A216" s="45" t="s">
        <v>174</v>
      </c>
      <c r="B216" s="79"/>
      <c r="C216" s="79"/>
      <c r="D216" s="79"/>
      <c r="E216" s="79"/>
      <c r="F216" s="79"/>
      <c r="G216" s="79"/>
      <c r="H216" s="79"/>
      <c r="I216" s="79"/>
      <c r="J216" s="79">
        <v>1.602851</v>
      </c>
      <c r="K216" s="79">
        <v>1.691146</v>
      </c>
      <c r="L216" s="79">
        <v>1.5</v>
      </c>
      <c r="M216" s="79">
        <v>1.4</v>
      </c>
      <c r="N216" s="79">
        <v>2.9</v>
      </c>
      <c r="O216" s="79"/>
    </row>
    <row r="217" spans="1:15" x14ac:dyDescent="0.25">
      <c r="A217" s="45" t="s">
        <v>175</v>
      </c>
      <c r="B217" s="79"/>
      <c r="C217" s="79"/>
      <c r="D217" s="79"/>
      <c r="E217" s="79"/>
      <c r="F217" s="79"/>
      <c r="G217" s="79"/>
      <c r="H217" s="79">
        <v>0.66501399999999999</v>
      </c>
      <c r="I217" s="79"/>
      <c r="J217" s="79"/>
      <c r="K217" s="79"/>
      <c r="L217" s="79"/>
      <c r="M217" s="79"/>
      <c r="N217" s="79"/>
      <c r="O217" s="79"/>
    </row>
    <row r="218" spans="1:15" x14ac:dyDescent="0.25">
      <c r="A218" s="45" t="s">
        <v>176</v>
      </c>
      <c r="B218" s="79"/>
      <c r="C218" s="79">
        <v>20</v>
      </c>
      <c r="D218" s="79"/>
      <c r="E218" s="79">
        <v>64.8</v>
      </c>
      <c r="F218" s="79">
        <v>22.518000000000001</v>
      </c>
      <c r="G218" s="79">
        <v>16.050999999999998</v>
      </c>
      <c r="H218" s="79"/>
      <c r="I218" s="79">
        <v>23.843399999999999</v>
      </c>
      <c r="J218" s="79">
        <v>11.653275000000001</v>
      </c>
      <c r="K218" s="79">
        <v>11.129175</v>
      </c>
      <c r="L218" s="79"/>
      <c r="M218" s="79"/>
      <c r="N218" s="79"/>
      <c r="O218" s="79"/>
    </row>
    <row r="219" spans="1:15" x14ac:dyDescent="0.25">
      <c r="A219" s="46" t="s">
        <v>177</v>
      </c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>
        <v>143.69999999999999</v>
      </c>
      <c r="M219" s="80">
        <v>63.6</v>
      </c>
      <c r="N219" s="80">
        <v>73.099999999999994</v>
      </c>
      <c r="O219" s="80">
        <v>73.099999999999994</v>
      </c>
    </row>
    <row r="220" spans="1:15" x14ac:dyDescent="0.25">
      <c r="A220" s="57" t="s">
        <v>142</v>
      </c>
      <c r="B220" s="83">
        <f t="shared" ref="B220:M220" si="28">SUM(B208:B219)</f>
        <v>42.4</v>
      </c>
      <c r="C220" s="83">
        <f t="shared" si="28"/>
        <v>61.9</v>
      </c>
      <c r="D220" s="83">
        <f t="shared" si="28"/>
        <v>71.2</v>
      </c>
      <c r="E220" s="83">
        <f t="shared" si="28"/>
        <v>199.10000000000002</v>
      </c>
      <c r="F220" s="83">
        <f t="shared" si="28"/>
        <v>51.659700000000001</v>
      </c>
      <c r="G220" s="83">
        <f t="shared" si="28"/>
        <v>96.087119000000001</v>
      </c>
      <c r="H220" s="83">
        <f t="shared" si="28"/>
        <v>54.148981999999997</v>
      </c>
      <c r="I220" s="83">
        <f t="shared" si="28"/>
        <v>115.93571800000001</v>
      </c>
      <c r="J220" s="83">
        <f t="shared" si="28"/>
        <v>110.28594140000001</v>
      </c>
      <c r="K220" s="83">
        <f t="shared" si="28"/>
        <v>107.61131800000001</v>
      </c>
      <c r="L220" s="83">
        <f t="shared" si="28"/>
        <v>184.1</v>
      </c>
      <c r="M220" s="83">
        <f t="shared" si="28"/>
        <v>119.048755</v>
      </c>
      <c r="N220" s="83">
        <f>SUM(N208:N219)</f>
        <v>130</v>
      </c>
      <c r="O220" s="83">
        <f>SUM(O208:O219)</f>
        <v>151.25126599999999</v>
      </c>
    </row>
    <row r="221" spans="1:15" x14ac:dyDescent="0.25">
      <c r="A221" s="33" t="s">
        <v>158</v>
      </c>
    </row>
    <row r="222" spans="1:15" x14ac:dyDescent="0.25">
      <c r="A222" s="45" t="s">
        <v>178</v>
      </c>
      <c r="B222" s="79">
        <v>8.1</v>
      </c>
      <c r="C222" s="79">
        <v>27</v>
      </c>
      <c r="D222" s="79">
        <v>26.1</v>
      </c>
      <c r="E222" s="79">
        <v>27.5</v>
      </c>
      <c r="F222" s="79">
        <v>17.353293000000001</v>
      </c>
      <c r="G222" s="79">
        <v>8.3788579999999993</v>
      </c>
      <c r="H222" s="79"/>
      <c r="I222" s="79"/>
      <c r="J222" s="79"/>
      <c r="K222" s="79"/>
      <c r="L222" s="79"/>
      <c r="M222" s="79"/>
      <c r="N222" s="79">
        <v>2</v>
      </c>
      <c r="O222" s="79"/>
    </row>
    <row r="223" spans="1:15" x14ac:dyDescent="0.25">
      <c r="A223" s="55" t="s">
        <v>179</v>
      </c>
      <c r="B223" s="93"/>
      <c r="C223" s="79">
        <v>10.199999999999999</v>
      </c>
      <c r="D223" s="93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</row>
    <row r="224" spans="1:15" x14ac:dyDescent="0.25">
      <c r="A224" s="45" t="s">
        <v>180</v>
      </c>
      <c r="B224" s="79">
        <v>14</v>
      </c>
      <c r="C224" s="79">
        <v>12.5</v>
      </c>
      <c r="D224" s="79">
        <v>24.4</v>
      </c>
      <c r="E224" s="79"/>
      <c r="F224" s="79"/>
      <c r="G224" s="79"/>
      <c r="H224" s="79"/>
      <c r="I224" s="79">
        <v>5.8691000000000004</v>
      </c>
      <c r="J224" s="79"/>
      <c r="K224" s="79"/>
      <c r="L224" s="79"/>
      <c r="M224" s="79"/>
      <c r="N224" s="79"/>
      <c r="O224" s="79"/>
    </row>
    <row r="225" spans="1:15" x14ac:dyDescent="0.25">
      <c r="A225" s="45" t="s">
        <v>181</v>
      </c>
      <c r="B225" s="79"/>
      <c r="C225" s="79">
        <v>6.2</v>
      </c>
      <c r="D225" s="79">
        <v>18.5</v>
      </c>
      <c r="E225" s="79">
        <v>1.2</v>
      </c>
      <c r="F225" s="79">
        <v>1.2103999999999999</v>
      </c>
      <c r="G225" s="79">
        <v>2.9042500000000002</v>
      </c>
      <c r="H225" s="79">
        <v>3.1419999999999999</v>
      </c>
      <c r="I225" s="79"/>
      <c r="J225" s="79"/>
      <c r="K225" s="79"/>
      <c r="L225" s="79"/>
      <c r="M225" s="79"/>
      <c r="N225" s="79"/>
      <c r="O225" s="79">
        <v>5.1402950000000001</v>
      </c>
    </row>
    <row r="226" spans="1:15" x14ac:dyDescent="0.25">
      <c r="A226" s="45" t="s">
        <v>182</v>
      </c>
      <c r="B226" s="79"/>
      <c r="C226" s="79"/>
      <c r="D226" s="79"/>
      <c r="E226" s="79"/>
      <c r="F226" s="79"/>
      <c r="G226" s="79"/>
      <c r="H226" s="79"/>
      <c r="I226" s="79">
        <v>1.8201000000000001</v>
      </c>
      <c r="J226" s="79"/>
      <c r="K226" s="79"/>
      <c r="L226" s="79"/>
      <c r="M226" s="79"/>
      <c r="N226" s="79"/>
      <c r="O226" s="79"/>
    </row>
    <row r="227" spans="1:15" x14ac:dyDescent="0.25">
      <c r="A227" s="46" t="s">
        <v>183</v>
      </c>
      <c r="B227" s="80"/>
      <c r="C227" s="80"/>
      <c r="D227" s="80"/>
      <c r="E227" s="80"/>
      <c r="F227" s="80"/>
      <c r="G227" s="80"/>
      <c r="H227" s="80"/>
      <c r="I227" s="80"/>
      <c r="J227" s="80"/>
      <c r="K227" s="80">
        <v>7.0845000000000002</v>
      </c>
      <c r="L227" s="80"/>
      <c r="M227" s="80"/>
      <c r="N227" s="80"/>
      <c r="O227" s="80"/>
    </row>
    <row r="228" spans="1:15" x14ac:dyDescent="0.25">
      <c r="A228" s="57" t="s">
        <v>163</v>
      </c>
      <c r="B228" s="83">
        <f>SUM(B222:B227)</f>
        <v>22.1</v>
      </c>
      <c r="C228" s="83">
        <f t="shared" ref="C228:O228" si="29">SUM(C222:C227)</f>
        <v>55.900000000000006</v>
      </c>
      <c r="D228" s="83">
        <f t="shared" si="29"/>
        <v>69</v>
      </c>
      <c r="E228" s="83">
        <f t="shared" si="29"/>
        <v>28.7</v>
      </c>
      <c r="F228" s="83">
        <f t="shared" si="29"/>
        <v>18.563693000000001</v>
      </c>
      <c r="G228" s="83">
        <f t="shared" si="29"/>
        <v>11.283107999999999</v>
      </c>
      <c r="H228" s="83">
        <f t="shared" si="29"/>
        <v>3.1419999999999999</v>
      </c>
      <c r="I228" s="83">
        <f t="shared" si="29"/>
        <v>7.6892000000000005</v>
      </c>
      <c r="J228" s="83">
        <f t="shared" si="29"/>
        <v>0</v>
      </c>
      <c r="K228" s="83">
        <f t="shared" si="29"/>
        <v>7.0845000000000002</v>
      </c>
      <c r="L228" s="83">
        <f t="shared" si="29"/>
        <v>0</v>
      </c>
      <c r="M228" s="83">
        <f t="shared" si="29"/>
        <v>0</v>
      </c>
      <c r="N228" s="83">
        <f t="shared" si="29"/>
        <v>2</v>
      </c>
      <c r="O228" s="83">
        <f t="shared" si="29"/>
        <v>5.1402950000000001</v>
      </c>
    </row>
    <row r="229" spans="1:15" x14ac:dyDescent="0.25">
      <c r="A229" s="33" t="s">
        <v>184</v>
      </c>
    </row>
    <row r="230" spans="1:15" x14ac:dyDescent="0.25">
      <c r="A230" s="45" t="s">
        <v>185</v>
      </c>
      <c r="B230" s="79"/>
      <c r="C230" s="79"/>
      <c r="D230" s="79"/>
      <c r="E230" s="79"/>
      <c r="F230" s="79"/>
      <c r="G230" s="79"/>
      <c r="H230" s="79">
        <v>23.93195446</v>
      </c>
      <c r="I230" s="79">
        <v>24.702316</v>
      </c>
      <c r="J230" s="79">
        <v>23.450106680000001</v>
      </c>
      <c r="K230" s="79">
        <f>0.74*45.3</f>
        <v>33.521999999999998</v>
      </c>
      <c r="L230" s="79">
        <v>23.1</v>
      </c>
      <c r="M230" s="79">
        <v>31.2</v>
      </c>
      <c r="N230" s="79">
        <v>16.600000000000001</v>
      </c>
      <c r="O230" s="79">
        <v>23.316690000000001</v>
      </c>
    </row>
    <row r="231" spans="1:15" x14ac:dyDescent="0.25">
      <c r="A231" s="45" t="s">
        <v>186</v>
      </c>
      <c r="B231" s="79"/>
      <c r="C231" s="79"/>
      <c r="D231" s="79"/>
      <c r="E231" s="79"/>
      <c r="F231" s="79"/>
      <c r="G231" s="79"/>
      <c r="H231" s="79"/>
      <c r="I231" s="79"/>
      <c r="J231" s="79">
        <v>6.6654960000000001</v>
      </c>
      <c r="K231" s="79">
        <f>5.90146+0.023079</f>
        <v>5.9245390000000002</v>
      </c>
      <c r="L231" s="79"/>
      <c r="M231" s="79">
        <v>3.7</v>
      </c>
      <c r="N231" s="79">
        <v>8.4</v>
      </c>
      <c r="O231" s="79"/>
    </row>
    <row r="232" spans="1:15" x14ac:dyDescent="0.25">
      <c r="A232" s="46" t="s">
        <v>187</v>
      </c>
      <c r="B232" s="80"/>
      <c r="C232" s="80"/>
      <c r="D232" s="80"/>
      <c r="E232" s="80"/>
      <c r="F232" s="80"/>
      <c r="G232" s="80"/>
      <c r="H232" s="80"/>
      <c r="I232" s="80"/>
      <c r="J232" s="80">
        <v>13.996216</v>
      </c>
      <c r="K232" s="80"/>
      <c r="L232" s="80"/>
      <c r="M232" s="80"/>
      <c r="N232" s="80"/>
      <c r="O232" s="80"/>
    </row>
    <row r="233" spans="1:15" x14ac:dyDescent="0.25">
      <c r="A233" s="57" t="s">
        <v>188</v>
      </c>
      <c r="B233" s="90">
        <f>SUM(B230:B232)</f>
        <v>0</v>
      </c>
      <c r="C233" s="90">
        <f t="shared" ref="C233:N233" si="30">SUM(C230:C232)</f>
        <v>0</v>
      </c>
      <c r="D233" s="90">
        <f t="shared" si="30"/>
        <v>0</v>
      </c>
      <c r="E233" s="90">
        <f t="shared" si="30"/>
        <v>0</v>
      </c>
      <c r="F233" s="90">
        <f t="shared" si="30"/>
        <v>0</v>
      </c>
      <c r="G233" s="90">
        <f t="shared" si="30"/>
        <v>0</v>
      </c>
      <c r="H233" s="90">
        <f t="shared" si="30"/>
        <v>23.93195446</v>
      </c>
      <c r="I233" s="90">
        <f t="shared" si="30"/>
        <v>24.702316</v>
      </c>
      <c r="J233" s="90">
        <f t="shared" si="30"/>
        <v>44.111818679999999</v>
      </c>
      <c r="K233" s="90">
        <f t="shared" si="30"/>
        <v>39.446539000000001</v>
      </c>
      <c r="L233" s="90">
        <f t="shared" si="30"/>
        <v>23.1</v>
      </c>
      <c r="M233" s="90">
        <f t="shared" si="30"/>
        <v>34.9</v>
      </c>
      <c r="N233" s="90">
        <f t="shared" si="30"/>
        <v>25</v>
      </c>
      <c r="O233" s="90">
        <f>SUM(O230:O232)</f>
        <v>23.316690000000001</v>
      </c>
    </row>
    <row r="234" spans="1:15" x14ac:dyDescent="0.25">
      <c r="A234" s="33" t="s">
        <v>189</v>
      </c>
    </row>
    <row r="235" spans="1:15" x14ac:dyDescent="0.25">
      <c r="A235" s="45" t="s">
        <v>190</v>
      </c>
      <c r="B235" s="79"/>
      <c r="C235" s="79"/>
      <c r="D235" s="79"/>
      <c r="E235" s="79"/>
      <c r="F235" s="79"/>
      <c r="G235" s="79">
        <v>4.9095000000000004</v>
      </c>
      <c r="H235" s="79">
        <f>1.2577+5.0251</f>
        <v>6.2827999999999999</v>
      </c>
      <c r="I235" s="79">
        <v>5.8691000000000004</v>
      </c>
      <c r="J235" s="79">
        <v>6.5344499999999996</v>
      </c>
      <c r="K235" s="79"/>
      <c r="L235" s="79"/>
      <c r="M235" s="79"/>
      <c r="N235" s="79">
        <v>8</v>
      </c>
      <c r="O235" s="79">
        <v>9.5054999999999996</v>
      </c>
    </row>
    <row r="236" spans="1:15" x14ac:dyDescent="0.25">
      <c r="A236" s="45" t="s">
        <v>191</v>
      </c>
      <c r="B236" s="79"/>
      <c r="C236" s="79"/>
      <c r="D236" s="79"/>
      <c r="E236" s="79"/>
      <c r="F236" s="79"/>
      <c r="G236" s="79">
        <v>17.128499999999999</v>
      </c>
      <c r="H236" s="79">
        <v>1.2869870000000001</v>
      </c>
      <c r="I236" s="79"/>
      <c r="J236" s="79"/>
      <c r="K236" s="79"/>
      <c r="L236" s="79"/>
      <c r="M236" s="79"/>
      <c r="N236" s="79"/>
      <c r="O236" s="79"/>
    </row>
    <row r="237" spans="1:15" x14ac:dyDescent="0.25">
      <c r="A237" s="45" t="s">
        <v>192</v>
      </c>
      <c r="B237" s="79"/>
      <c r="C237" s="79"/>
      <c r="D237" s="79"/>
      <c r="E237" s="79"/>
      <c r="F237" s="79"/>
      <c r="G237" s="79">
        <v>16.412789</v>
      </c>
      <c r="H237" s="79">
        <v>19.460850000000001</v>
      </c>
      <c r="I237" s="79">
        <v>23.130099999999999</v>
      </c>
      <c r="J237" s="79">
        <v>19.600349999999999</v>
      </c>
      <c r="K237" s="79">
        <v>19.5975</v>
      </c>
      <c r="L237" s="79">
        <v>11.3</v>
      </c>
      <c r="M237" s="79">
        <v>9.9</v>
      </c>
      <c r="N237" s="79">
        <v>10.7</v>
      </c>
      <c r="O237" s="79">
        <v>12.308</v>
      </c>
    </row>
    <row r="238" spans="1:15" x14ac:dyDescent="0.25">
      <c r="A238" s="45" t="s">
        <v>193</v>
      </c>
      <c r="B238" s="79"/>
      <c r="C238" s="79"/>
      <c r="D238" s="79"/>
      <c r="E238" s="79"/>
      <c r="F238" s="79"/>
      <c r="G238" s="79">
        <v>3.1908650000000001</v>
      </c>
      <c r="H238" s="79"/>
      <c r="I238" s="79"/>
      <c r="J238" s="79"/>
      <c r="K238" s="79"/>
      <c r="L238" s="79"/>
      <c r="M238" s="79"/>
      <c r="N238" s="79"/>
      <c r="O238" s="79"/>
    </row>
    <row r="239" spans="1:15" x14ac:dyDescent="0.25">
      <c r="A239" s="45" t="s">
        <v>194</v>
      </c>
      <c r="B239" s="79"/>
      <c r="C239" s="79"/>
      <c r="D239" s="79"/>
      <c r="E239" s="79"/>
      <c r="F239" s="79"/>
      <c r="G239" s="79"/>
      <c r="H239" s="79">
        <f>19.35585+19.35585</f>
        <v>38.7117</v>
      </c>
      <c r="I239" s="79">
        <v>11.6387</v>
      </c>
      <c r="J239" s="79"/>
      <c r="K239" s="79">
        <v>13.150399999999999</v>
      </c>
      <c r="L239" s="79"/>
      <c r="M239" s="79"/>
      <c r="N239" s="79">
        <v>1</v>
      </c>
      <c r="O239" s="79"/>
    </row>
    <row r="240" spans="1:15" x14ac:dyDescent="0.25">
      <c r="A240" s="45" t="s">
        <v>195</v>
      </c>
      <c r="B240" s="79"/>
      <c r="C240" s="79"/>
      <c r="D240" s="79"/>
      <c r="E240" s="79"/>
      <c r="F240" s="79"/>
      <c r="G240" s="79"/>
      <c r="H240" s="79"/>
      <c r="I240" s="79">
        <v>0.5</v>
      </c>
      <c r="J240" s="79"/>
      <c r="K240" s="79"/>
      <c r="L240" s="79"/>
      <c r="M240" s="79"/>
      <c r="N240" s="79"/>
      <c r="O240" s="79"/>
    </row>
    <row r="241" spans="1:15" x14ac:dyDescent="0.25">
      <c r="A241" s="45" t="s">
        <v>196</v>
      </c>
      <c r="B241" s="79"/>
      <c r="C241" s="79"/>
      <c r="D241" s="79"/>
      <c r="E241" s="79"/>
      <c r="F241" s="79"/>
      <c r="G241" s="79"/>
      <c r="H241" s="79"/>
      <c r="I241" s="79"/>
      <c r="J241" s="79">
        <v>19.81035</v>
      </c>
      <c r="K241" s="79">
        <v>19.5975</v>
      </c>
      <c r="L241" s="79">
        <v>23</v>
      </c>
      <c r="M241" s="79">
        <v>19.5975</v>
      </c>
      <c r="N241" s="79">
        <v>21.3</v>
      </c>
      <c r="O241" s="79">
        <v>24.914000000000001</v>
      </c>
    </row>
    <row r="242" spans="1:15" x14ac:dyDescent="0.25">
      <c r="A242" s="45" t="s">
        <v>197</v>
      </c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>
        <v>0.2</v>
      </c>
      <c r="O242" s="79">
        <v>0.50801499999999999</v>
      </c>
    </row>
    <row r="243" spans="1:15" x14ac:dyDescent="0.25">
      <c r="A243" s="46" t="s">
        <v>198</v>
      </c>
      <c r="B243" s="80"/>
      <c r="C243" s="80"/>
      <c r="D243" s="80"/>
      <c r="E243" s="80"/>
      <c r="F243" s="80"/>
      <c r="G243" s="80">
        <v>3.0590000000000002</v>
      </c>
      <c r="H243" s="80"/>
      <c r="I243" s="80"/>
      <c r="J243" s="80"/>
      <c r="K243" s="80"/>
      <c r="L243" s="80"/>
      <c r="M243" s="80"/>
      <c r="N243" s="80"/>
      <c r="O243" s="80"/>
    </row>
    <row r="244" spans="1:15" x14ac:dyDescent="0.25">
      <c r="A244" s="46" t="s">
        <v>299</v>
      </c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>
        <v>1.354104</v>
      </c>
    </row>
    <row r="245" spans="1:15" ht="15.75" thickBot="1" x14ac:dyDescent="0.3">
      <c r="A245" s="57" t="s">
        <v>199</v>
      </c>
      <c r="B245" s="81">
        <f>SUM(B235:B243)</f>
        <v>0</v>
      </c>
      <c r="C245" s="81">
        <f t="shared" ref="C245:M245" si="31">SUM(C235:C243)</f>
        <v>0</v>
      </c>
      <c r="D245" s="81">
        <f t="shared" si="31"/>
        <v>0</v>
      </c>
      <c r="E245" s="81">
        <f t="shared" si="31"/>
        <v>0</v>
      </c>
      <c r="F245" s="81">
        <f t="shared" si="31"/>
        <v>0</v>
      </c>
      <c r="G245" s="81">
        <f t="shared" si="31"/>
        <v>44.700654</v>
      </c>
      <c r="H245" s="81">
        <f t="shared" si="31"/>
        <v>65.742336999999992</v>
      </c>
      <c r="I245" s="81">
        <f t="shared" si="31"/>
        <v>41.137900000000002</v>
      </c>
      <c r="J245" s="81">
        <f t="shared" si="31"/>
        <v>45.945149999999998</v>
      </c>
      <c r="K245" s="81">
        <f t="shared" si="31"/>
        <v>52.345399999999998</v>
      </c>
      <c r="L245" s="81">
        <f t="shared" si="31"/>
        <v>34.299999999999997</v>
      </c>
      <c r="M245" s="81">
        <f t="shared" si="31"/>
        <v>29.497500000000002</v>
      </c>
      <c r="N245" s="81">
        <f>SUM(N235:N243)</f>
        <v>41.2</v>
      </c>
      <c r="O245" s="81">
        <f>SUM(O235:O244)</f>
        <v>48.589618999999999</v>
      </c>
    </row>
    <row r="246" spans="1:15" ht="15.75" thickBot="1" x14ac:dyDescent="0.3">
      <c r="A246" s="61" t="s">
        <v>200</v>
      </c>
      <c r="B246" s="94">
        <f>B220+B228</f>
        <v>64.5</v>
      </c>
      <c r="C246" s="94">
        <f>C220+C228+C233+C245</f>
        <v>117.80000000000001</v>
      </c>
      <c r="D246" s="94">
        <f t="shared" ref="D246:L246" si="32">D220+D228+D233+D245</f>
        <v>140.19999999999999</v>
      </c>
      <c r="E246" s="94">
        <f t="shared" si="32"/>
        <v>227.8</v>
      </c>
      <c r="F246" s="94">
        <f t="shared" si="32"/>
        <v>70.223393000000002</v>
      </c>
      <c r="G246" s="94">
        <f t="shared" si="32"/>
        <v>152.07088099999999</v>
      </c>
      <c r="H246" s="94">
        <f t="shared" si="32"/>
        <v>146.96527345999999</v>
      </c>
      <c r="I246" s="94">
        <f t="shared" si="32"/>
        <v>189.46513400000001</v>
      </c>
      <c r="J246" s="94">
        <f t="shared" si="32"/>
        <v>200.34291008000002</v>
      </c>
      <c r="K246" s="94">
        <f t="shared" si="32"/>
        <v>206.48775699999999</v>
      </c>
      <c r="L246" s="94">
        <f t="shared" si="32"/>
        <v>241.5</v>
      </c>
      <c r="M246" s="94">
        <f>M220+M228+M233+M245</f>
        <v>183.44625500000001</v>
      </c>
      <c r="N246" s="94">
        <f>N220+N228+N233+N245</f>
        <v>198.2</v>
      </c>
      <c r="O246" s="94">
        <f>O220+O228+O233+O245</f>
        <v>228.29786999999999</v>
      </c>
    </row>
    <row r="247" spans="1:15" ht="16.5" thickTop="1" thickBot="1" x14ac:dyDescent="0.3">
      <c r="A247" s="63" t="s">
        <v>201</v>
      </c>
      <c r="B247" s="86">
        <f t="shared" ref="B247:O247" si="33">B177+B204+B246</f>
        <v>1031.77</v>
      </c>
      <c r="C247" s="86">
        <f t="shared" si="33"/>
        <v>769.52</v>
      </c>
      <c r="D247" s="86">
        <f t="shared" si="33"/>
        <v>952.07400000000007</v>
      </c>
      <c r="E247" s="86">
        <f t="shared" si="33"/>
        <v>1329.88</v>
      </c>
      <c r="F247" s="86">
        <f t="shared" si="33"/>
        <v>1063.3031819999999</v>
      </c>
      <c r="G247" s="86">
        <f t="shared" si="33"/>
        <v>985.90951499999994</v>
      </c>
      <c r="H247" s="86">
        <f t="shared" si="33"/>
        <v>1065.2212118999998</v>
      </c>
      <c r="I247" s="86">
        <f t="shared" si="33"/>
        <v>1310.3842263900001</v>
      </c>
      <c r="J247" s="86">
        <f t="shared" si="33"/>
        <v>1355.7491633586164</v>
      </c>
      <c r="K247" s="86">
        <f t="shared" si="33"/>
        <v>1776.9392411399999</v>
      </c>
      <c r="L247" s="86">
        <f t="shared" si="33"/>
        <v>2211.6999999999998</v>
      </c>
      <c r="M247" s="86">
        <f t="shared" si="33"/>
        <v>2008.3462549999999</v>
      </c>
      <c r="N247" s="86">
        <f t="shared" si="33"/>
        <v>2418</v>
      </c>
      <c r="O247" s="86">
        <f t="shared" si="33"/>
        <v>2519.2408559999999</v>
      </c>
    </row>
    <row r="248" spans="1:15" ht="15.75" thickBot="1" x14ac:dyDescent="0.3"/>
    <row r="249" spans="1:15" ht="15.75" thickBot="1" x14ac:dyDescent="0.3">
      <c r="A249" s="64" t="s">
        <v>11</v>
      </c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8"/>
      <c r="N249" s="88"/>
      <c r="O249" s="88"/>
    </row>
    <row r="250" spans="1:15" ht="15.75" thickBot="1" x14ac:dyDescent="0.3">
      <c r="A250" s="65"/>
      <c r="B250" s="78">
        <v>2006</v>
      </c>
      <c r="C250" s="77">
        <v>2007</v>
      </c>
      <c r="D250" s="78">
        <v>2008</v>
      </c>
      <c r="E250" s="77">
        <v>2009</v>
      </c>
      <c r="F250" s="78">
        <v>2010</v>
      </c>
      <c r="G250" s="77">
        <v>2011</v>
      </c>
      <c r="H250" s="78">
        <v>2012</v>
      </c>
      <c r="I250" s="77">
        <v>2013</v>
      </c>
      <c r="J250" s="78">
        <v>2014</v>
      </c>
      <c r="K250" s="77">
        <v>2015</v>
      </c>
      <c r="L250" s="78">
        <v>2016</v>
      </c>
      <c r="M250" s="77">
        <v>2017</v>
      </c>
      <c r="N250" s="77">
        <v>2018</v>
      </c>
      <c r="O250" s="77">
        <v>2019</v>
      </c>
    </row>
    <row r="251" spans="1:15" ht="15.75" thickBot="1" x14ac:dyDescent="0.3">
      <c r="A251" s="38" t="s">
        <v>202</v>
      </c>
    </row>
    <row r="252" spans="1:15" x14ac:dyDescent="0.25">
      <c r="A252" s="66" t="s">
        <v>203</v>
      </c>
      <c r="B252" s="95">
        <v>114</v>
      </c>
      <c r="C252" s="95">
        <v>149.4</v>
      </c>
      <c r="D252" s="95">
        <v>206.3</v>
      </c>
      <c r="E252" s="95">
        <v>220.4</v>
      </c>
      <c r="F252" s="95">
        <v>194.2</v>
      </c>
      <c r="G252" s="95">
        <v>187.85603900000001</v>
      </c>
      <c r="H252" s="95">
        <v>243.158672</v>
      </c>
      <c r="I252" s="95">
        <v>250.62304800000001</v>
      </c>
      <c r="J252" s="95">
        <v>213.735636</v>
      </c>
      <c r="K252" s="95">
        <v>214.9</v>
      </c>
      <c r="L252" s="95">
        <v>214.2</v>
      </c>
      <c r="M252" s="95">
        <v>234.2</v>
      </c>
      <c r="N252" s="95">
        <v>245.9</v>
      </c>
      <c r="O252" s="95">
        <v>251</v>
      </c>
    </row>
    <row r="253" spans="1:15" x14ac:dyDescent="0.25">
      <c r="A253" s="45" t="s">
        <v>204</v>
      </c>
      <c r="B253" s="79">
        <v>87.2</v>
      </c>
      <c r="C253" s="79">
        <v>119.3</v>
      </c>
      <c r="D253" s="79">
        <v>154.5</v>
      </c>
      <c r="E253" s="79">
        <v>174</v>
      </c>
      <c r="F253" s="79">
        <v>152.4</v>
      </c>
      <c r="G253" s="79">
        <v>157.30000000000001</v>
      </c>
      <c r="H253" s="79">
        <v>155.4</v>
      </c>
      <c r="I253" s="79">
        <v>211.7</v>
      </c>
      <c r="J253" s="79">
        <v>190.1</v>
      </c>
      <c r="K253" s="79">
        <v>187.3</v>
      </c>
      <c r="L253" s="79">
        <v>206.7</v>
      </c>
      <c r="M253" s="79">
        <v>216.7</v>
      </c>
      <c r="N253" s="79">
        <v>217</v>
      </c>
      <c r="O253" s="79">
        <v>222</v>
      </c>
    </row>
    <row r="254" spans="1:15" x14ac:dyDescent="0.25">
      <c r="A254" s="45" t="s">
        <v>205</v>
      </c>
      <c r="B254" s="79"/>
      <c r="C254" s="79">
        <v>27</v>
      </c>
      <c r="D254" s="79">
        <v>49</v>
      </c>
      <c r="E254" s="79">
        <v>46</v>
      </c>
      <c r="F254" s="79">
        <v>47.57</v>
      </c>
      <c r="G254" s="79">
        <v>50</v>
      </c>
      <c r="H254" s="79">
        <v>69.599999999999994</v>
      </c>
      <c r="I254" s="79">
        <v>85.1</v>
      </c>
      <c r="J254" s="79">
        <v>87.5</v>
      </c>
      <c r="K254" s="79">
        <f>75.4+4</f>
        <v>79.400000000000006</v>
      </c>
      <c r="L254" s="79">
        <v>88.1</v>
      </c>
      <c r="M254" s="79">
        <v>128.1</v>
      </c>
      <c r="N254" s="79">
        <v>138.30000000000001</v>
      </c>
      <c r="O254" s="79">
        <v>141.44999899999999</v>
      </c>
    </row>
    <row r="255" spans="1:15" x14ac:dyDescent="0.25">
      <c r="A255" s="45" t="s">
        <v>206</v>
      </c>
      <c r="B255" s="79"/>
      <c r="C255" s="79"/>
      <c r="D255" s="79">
        <v>8.5</v>
      </c>
      <c r="E255" s="79">
        <v>20.2</v>
      </c>
      <c r="F255" s="79">
        <v>29.6</v>
      </c>
      <c r="G255" s="79">
        <v>38.512974999999997</v>
      </c>
      <c r="H255" s="79">
        <f>43.16105+1.99</f>
        <v>45.151050000000005</v>
      </c>
      <c r="I255" s="79">
        <v>50</v>
      </c>
      <c r="J255" s="79">
        <v>55.8</v>
      </c>
      <c r="K255" s="79">
        <f>44.28+10+3</f>
        <v>57.28</v>
      </c>
      <c r="L255" s="79">
        <v>53.7</v>
      </c>
      <c r="M255" s="79">
        <v>93.7</v>
      </c>
      <c r="N255" s="79">
        <v>117.012</v>
      </c>
      <c r="O255" s="79">
        <v>117.249999</v>
      </c>
    </row>
    <row r="256" spans="1:15" x14ac:dyDescent="0.25">
      <c r="A256" s="45" t="s">
        <v>207</v>
      </c>
      <c r="B256" s="79"/>
      <c r="C256" s="79"/>
      <c r="D256" s="79"/>
      <c r="E256" s="79"/>
      <c r="F256" s="79"/>
      <c r="G256" s="79"/>
      <c r="H256" s="79"/>
      <c r="I256" s="79"/>
      <c r="J256" s="79"/>
      <c r="K256" s="79">
        <v>3.22858</v>
      </c>
      <c r="L256" s="79">
        <v>9.3000000000000007</v>
      </c>
      <c r="M256" s="79">
        <v>29.3</v>
      </c>
      <c r="N256" s="79">
        <v>0</v>
      </c>
      <c r="O256" s="79"/>
    </row>
    <row r="257" spans="1:15" x14ac:dyDescent="0.25">
      <c r="A257" s="45" t="s">
        <v>208</v>
      </c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80">
        <v>5.3</v>
      </c>
      <c r="O257" s="79">
        <v>2.0427200000000001</v>
      </c>
    </row>
    <row r="258" spans="1:15" x14ac:dyDescent="0.25">
      <c r="A258" s="46" t="s">
        <v>209</v>
      </c>
      <c r="B258" s="80"/>
      <c r="C258" s="80"/>
      <c r="D258" s="80"/>
      <c r="E258" s="80"/>
      <c r="F258" s="80">
        <v>1</v>
      </c>
      <c r="G258" s="80">
        <v>1</v>
      </c>
      <c r="H258" s="80">
        <v>1</v>
      </c>
      <c r="I258" s="80">
        <v>1.5</v>
      </c>
      <c r="J258" s="80">
        <v>1.5</v>
      </c>
      <c r="K258" s="80"/>
      <c r="L258" s="80"/>
      <c r="M258" s="80"/>
      <c r="N258" s="80">
        <v>0.6</v>
      </c>
      <c r="O258" s="80"/>
    </row>
    <row r="259" spans="1:15" x14ac:dyDescent="0.25">
      <c r="A259" s="46" t="s">
        <v>300</v>
      </c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>
        <v>19.119838999999999</v>
      </c>
    </row>
    <row r="260" spans="1:15" x14ac:dyDescent="0.25">
      <c r="A260" s="46" t="s">
        <v>302</v>
      </c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>
        <v>2.8</v>
      </c>
    </row>
    <row r="261" spans="1:15" x14ac:dyDescent="0.25">
      <c r="A261" s="57" t="s">
        <v>210</v>
      </c>
      <c r="B261" s="83">
        <f>SUM(B252:B258)</f>
        <v>201.2</v>
      </c>
      <c r="C261" s="83">
        <f t="shared" ref="C261:M261" si="34">SUM(C252:C258)</f>
        <v>295.7</v>
      </c>
      <c r="D261" s="83">
        <f t="shared" si="34"/>
        <v>418.3</v>
      </c>
      <c r="E261" s="83">
        <f t="shared" si="34"/>
        <v>460.59999999999997</v>
      </c>
      <c r="F261" s="83">
        <f t="shared" si="34"/>
        <v>424.77000000000004</v>
      </c>
      <c r="G261" s="83">
        <f t="shared" si="34"/>
        <v>434.669014</v>
      </c>
      <c r="H261" s="83">
        <f t="shared" si="34"/>
        <v>514.30972200000008</v>
      </c>
      <c r="I261" s="83">
        <f t="shared" si="34"/>
        <v>598.92304799999999</v>
      </c>
      <c r="J261" s="83">
        <f t="shared" si="34"/>
        <v>548.63563599999998</v>
      </c>
      <c r="K261" s="83">
        <f t="shared" si="34"/>
        <v>542.10857999999996</v>
      </c>
      <c r="L261" s="83">
        <f t="shared" si="34"/>
        <v>572</v>
      </c>
      <c r="M261" s="83">
        <f t="shared" si="34"/>
        <v>702</v>
      </c>
      <c r="N261" s="83">
        <f>SUM(N252:N258)</f>
        <v>724.11199999999997</v>
      </c>
      <c r="O261" s="83">
        <f>SUM(O252:O260)</f>
        <v>755.66255699999988</v>
      </c>
    </row>
    <row r="262" spans="1:15" x14ac:dyDescent="0.25">
      <c r="A262" s="33" t="s">
        <v>158</v>
      </c>
    </row>
    <row r="263" spans="1:15" x14ac:dyDescent="0.25">
      <c r="A263" s="45" t="s">
        <v>211</v>
      </c>
      <c r="B263" s="79"/>
      <c r="C263" s="79"/>
      <c r="D263" s="79">
        <v>13.8</v>
      </c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</row>
    <row r="264" spans="1:15" x14ac:dyDescent="0.25">
      <c r="A264" s="46" t="s">
        <v>212</v>
      </c>
      <c r="B264" s="80"/>
      <c r="C264" s="80">
        <v>10.9</v>
      </c>
      <c r="D264" s="80">
        <v>4</v>
      </c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</row>
    <row r="265" spans="1:15" x14ac:dyDescent="0.25">
      <c r="A265" s="57" t="s">
        <v>163</v>
      </c>
      <c r="B265" s="83">
        <f>SUM(B263:B264)</f>
        <v>0</v>
      </c>
      <c r="C265" s="83">
        <f t="shared" ref="C265:O265" si="35">SUM(C263:C264)</f>
        <v>10.9</v>
      </c>
      <c r="D265" s="83">
        <f t="shared" si="35"/>
        <v>17.8</v>
      </c>
      <c r="E265" s="83">
        <f t="shared" si="35"/>
        <v>0</v>
      </c>
      <c r="F265" s="83">
        <f t="shared" si="35"/>
        <v>0</v>
      </c>
      <c r="G265" s="83">
        <f t="shared" si="35"/>
        <v>0</v>
      </c>
      <c r="H265" s="83">
        <f t="shared" si="35"/>
        <v>0</v>
      </c>
      <c r="I265" s="83">
        <f t="shared" si="35"/>
        <v>0</v>
      </c>
      <c r="J265" s="83">
        <f t="shared" si="35"/>
        <v>0</v>
      </c>
      <c r="K265" s="83">
        <f t="shared" si="35"/>
        <v>0</v>
      </c>
      <c r="L265" s="83">
        <f t="shared" si="35"/>
        <v>0</v>
      </c>
      <c r="M265" s="83">
        <f t="shared" si="35"/>
        <v>0</v>
      </c>
      <c r="N265" s="83">
        <f t="shared" si="35"/>
        <v>0</v>
      </c>
      <c r="O265" s="83">
        <f t="shared" si="35"/>
        <v>0</v>
      </c>
    </row>
    <row r="266" spans="1:15" x14ac:dyDescent="0.25">
      <c r="A266" s="33" t="s">
        <v>213</v>
      </c>
    </row>
    <row r="267" spans="1:15" x14ac:dyDescent="0.25">
      <c r="A267" s="45" t="s">
        <v>309</v>
      </c>
      <c r="B267" s="79"/>
      <c r="C267" s="79">
        <v>57</v>
      </c>
      <c r="D267" s="79">
        <v>57.5</v>
      </c>
      <c r="E267" s="79">
        <v>130.30000000000001</v>
      </c>
      <c r="F267" s="79"/>
      <c r="G267" s="79">
        <v>20</v>
      </c>
      <c r="H267" s="79">
        <v>25</v>
      </c>
      <c r="I267" s="79">
        <v>38</v>
      </c>
      <c r="J267" s="79">
        <v>69.600526000000002</v>
      </c>
      <c r="K267" s="79">
        <v>131.30000000000001</v>
      </c>
      <c r="L267" s="79">
        <v>261.2</v>
      </c>
      <c r="M267" s="79">
        <v>332.040143</v>
      </c>
      <c r="N267" s="84">
        <v>195.34009</v>
      </c>
      <c r="O267" s="84">
        <v>235.51980699999999</v>
      </c>
    </row>
    <row r="268" spans="1:15" x14ac:dyDescent="0.25">
      <c r="A268" s="45" t="s">
        <v>306</v>
      </c>
      <c r="B268" s="79"/>
      <c r="C268" s="79"/>
      <c r="D268" s="79"/>
      <c r="E268" s="79"/>
      <c r="F268" s="79"/>
      <c r="G268" s="79"/>
      <c r="H268" s="79"/>
      <c r="I268" s="79"/>
      <c r="J268" s="79">
        <v>333.6</v>
      </c>
      <c r="K268" s="79">
        <v>491.9</v>
      </c>
      <c r="L268" s="79">
        <v>1634.4</v>
      </c>
      <c r="M268" s="79">
        <v>2034.951941</v>
      </c>
      <c r="N268" s="84">
        <v>1017.145675</v>
      </c>
      <c r="O268" s="84">
        <v>736.93055900000002</v>
      </c>
    </row>
    <row r="269" spans="1:15" x14ac:dyDescent="0.25">
      <c r="A269" s="57" t="s">
        <v>214</v>
      </c>
      <c r="B269" s="83">
        <f t="shared" ref="B269:O269" si="36">SUM(B267:B268)</f>
        <v>0</v>
      </c>
      <c r="C269" s="83">
        <f t="shared" si="36"/>
        <v>57</v>
      </c>
      <c r="D269" s="83">
        <f t="shared" si="36"/>
        <v>57.5</v>
      </c>
      <c r="E269" s="83">
        <f t="shared" si="36"/>
        <v>130.30000000000001</v>
      </c>
      <c r="F269" s="83">
        <f t="shared" si="36"/>
        <v>0</v>
      </c>
      <c r="G269" s="83">
        <f t="shared" si="36"/>
        <v>20</v>
      </c>
      <c r="H269" s="83">
        <f t="shared" si="36"/>
        <v>25</v>
      </c>
      <c r="I269" s="83">
        <f t="shared" si="36"/>
        <v>38</v>
      </c>
      <c r="J269" s="83">
        <f t="shared" si="36"/>
        <v>403.20052600000002</v>
      </c>
      <c r="K269" s="83">
        <f t="shared" si="36"/>
        <v>623.20000000000005</v>
      </c>
      <c r="L269" s="83">
        <f t="shared" si="36"/>
        <v>1895.6000000000001</v>
      </c>
      <c r="M269" s="83">
        <f t="shared" si="36"/>
        <v>2366.992084</v>
      </c>
      <c r="N269" s="83">
        <f>SUM(N267:N268)</f>
        <v>1212.4857649999999</v>
      </c>
      <c r="O269" s="83">
        <f t="shared" si="36"/>
        <v>972.45036600000003</v>
      </c>
    </row>
    <row r="270" spans="1:15" x14ac:dyDescent="0.25">
      <c r="A270" s="67" t="s">
        <v>215</v>
      </c>
    </row>
    <row r="271" spans="1:15" x14ac:dyDescent="0.25">
      <c r="A271" s="68" t="s">
        <v>216</v>
      </c>
      <c r="B271" s="79"/>
      <c r="C271" s="79">
        <v>9.6</v>
      </c>
      <c r="D271" s="79">
        <v>25</v>
      </c>
      <c r="E271" s="79">
        <v>12.1</v>
      </c>
      <c r="F271" s="79">
        <f>5.72015+9.5+5.74315</f>
        <v>20.9633</v>
      </c>
      <c r="G271" s="79">
        <v>5.2591530000000004</v>
      </c>
      <c r="H271" s="79">
        <f>6.50545+5.7714</f>
        <v>12.27685</v>
      </c>
      <c r="I271" s="79">
        <v>14.884175000000001</v>
      </c>
      <c r="J271" s="79">
        <f>9.791175+6.06305</f>
        <v>15.854225</v>
      </c>
      <c r="K271" s="79">
        <f>13.02+9.79</f>
        <v>22.81</v>
      </c>
      <c r="L271" s="79">
        <v>5.7</v>
      </c>
      <c r="M271" s="79">
        <f>7.9+5.3</f>
        <v>13.2</v>
      </c>
      <c r="N271" s="79">
        <v>21.1</v>
      </c>
      <c r="O271" s="79">
        <v>11.7372</v>
      </c>
    </row>
    <row r="272" spans="1:15" x14ac:dyDescent="0.25">
      <c r="A272" s="46" t="s">
        <v>217</v>
      </c>
      <c r="B272" s="80"/>
      <c r="C272" s="80"/>
      <c r="D272" s="80"/>
      <c r="E272" s="80"/>
      <c r="F272" s="80"/>
      <c r="G272" s="80">
        <v>2.96732</v>
      </c>
      <c r="H272" s="80">
        <v>1.4213830000000001</v>
      </c>
      <c r="I272" s="80">
        <v>2.520594</v>
      </c>
      <c r="J272" s="80">
        <v>1.5864720000000001</v>
      </c>
      <c r="K272" s="80"/>
      <c r="L272" s="80"/>
      <c r="M272" s="80"/>
      <c r="N272" s="80"/>
      <c r="O272" s="80">
        <v>11.9922</v>
      </c>
    </row>
    <row r="273" spans="1:15" x14ac:dyDescent="0.25">
      <c r="A273" s="69" t="s">
        <v>218</v>
      </c>
      <c r="B273" s="83">
        <f>SUM(B271:B272)</f>
        <v>0</v>
      </c>
      <c r="C273" s="83">
        <f t="shared" ref="C273:O273" si="37">SUM(C271:C272)</f>
        <v>9.6</v>
      </c>
      <c r="D273" s="83">
        <f t="shared" si="37"/>
        <v>25</v>
      </c>
      <c r="E273" s="83">
        <f t="shared" si="37"/>
        <v>12.1</v>
      </c>
      <c r="F273" s="83">
        <f t="shared" si="37"/>
        <v>20.9633</v>
      </c>
      <c r="G273" s="83">
        <f t="shared" si="37"/>
        <v>8.2264730000000004</v>
      </c>
      <c r="H273" s="83">
        <f t="shared" si="37"/>
        <v>13.698233</v>
      </c>
      <c r="I273" s="83">
        <f t="shared" si="37"/>
        <v>17.404769000000002</v>
      </c>
      <c r="J273" s="83">
        <f t="shared" si="37"/>
        <v>17.440697</v>
      </c>
      <c r="K273" s="83">
        <f t="shared" si="37"/>
        <v>22.81</v>
      </c>
      <c r="L273" s="83">
        <f t="shared" si="37"/>
        <v>5.7</v>
      </c>
      <c r="M273" s="83">
        <f t="shared" si="37"/>
        <v>13.2</v>
      </c>
      <c r="N273" s="83">
        <f t="shared" si="37"/>
        <v>21.1</v>
      </c>
      <c r="O273" s="83">
        <f t="shared" si="37"/>
        <v>23.729399999999998</v>
      </c>
    </row>
    <row r="274" spans="1:15" x14ac:dyDescent="0.25">
      <c r="A274" s="33" t="s">
        <v>219</v>
      </c>
    </row>
    <row r="275" spans="1:15" x14ac:dyDescent="0.25">
      <c r="A275" s="45" t="s">
        <v>220</v>
      </c>
      <c r="B275" s="79"/>
      <c r="C275" s="79"/>
      <c r="D275" s="79"/>
      <c r="E275" s="79">
        <v>6.4</v>
      </c>
      <c r="F275" s="79">
        <v>7.8493000000000004</v>
      </c>
      <c r="G275" s="79">
        <v>6.4769480000000001</v>
      </c>
      <c r="H275" s="79">
        <v>6.4124999999999996</v>
      </c>
      <c r="I275" s="79"/>
      <c r="J275" s="79"/>
      <c r="K275" s="79"/>
      <c r="L275" s="79"/>
      <c r="M275" s="79"/>
      <c r="N275" s="79"/>
      <c r="O275" s="79"/>
    </row>
    <row r="276" spans="1:15" x14ac:dyDescent="0.25">
      <c r="A276" s="46" t="s">
        <v>221</v>
      </c>
      <c r="B276" s="80">
        <v>13.3</v>
      </c>
      <c r="C276" s="80">
        <v>26.9</v>
      </c>
      <c r="D276" s="80">
        <v>24.1</v>
      </c>
      <c r="E276" s="80">
        <v>15.9</v>
      </c>
      <c r="F276" s="80"/>
      <c r="G276" s="80"/>
      <c r="H276" s="80"/>
      <c r="I276" s="80"/>
      <c r="J276" s="80"/>
      <c r="K276" s="80"/>
      <c r="L276" s="80">
        <v>24.4</v>
      </c>
      <c r="M276" s="80">
        <v>120.8</v>
      </c>
      <c r="N276" s="80"/>
      <c r="O276" s="80"/>
    </row>
    <row r="277" spans="1:15" x14ac:dyDescent="0.25">
      <c r="A277" s="57" t="s">
        <v>222</v>
      </c>
      <c r="B277" s="83">
        <f>SUM(B275:B276)</f>
        <v>13.3</v>
      </c>
      <c r="C277" s="83">
        <f t="shared" ref="C277:O277" si="38">SUM(C275:C276)</f>
        <v>26.9</v>
      </c>
      <c r="D277" s="83">
        <f t="shared" si="38"/>
        <v>24.1</v>
      </c>
      <c r="E277" s="83">
        <f t="shared" si="38"/>
        <v>22.3</v>
      </c>
      <c r="F277" s="83">
        <f t="shared" si="38"/>
        <v>7.8493000000000004</v>
      </c>
      <c r="G277" s="83">
        <f t="shared" si="38"/>
        <v>6.4769480000000001</v>
      </c>
      <c r="H277" s="83">
        <f t="shared" si="38"/>
        <v>6.4124999999999996</v>
      </c>
      <c r="I277" s="83">
        <f t="shared" si="38"/>
        <v>0</v>
      </c>
      <c r="J277" s="83">
        <f t="shared" si="38"/>
        <v>0</v>
      </c>
      <c r="K277" s="83">
        <f t="shared" si="38"/>
        <v>0</v>
      </c>
      <c r="L277" s="83">
        <f t="shared" si="38"/>
        <v>24.4</v>
      </c>
      <c r="M277" s="83">
        <f t="shared" si="38"/>
        <v>120.8</v>
      </c>
      <c r="N277" s="83">
        <f t="shared" si="38"/>
        <v>0</v>
      </c>
      <c r="O277" s="83">
        <f t="shared" si="38"/>
        <v>0</v>
      </c>
    </row>
    <row r="278" spans="1:15" x14ac:dyDescent="0.25">
      <c r="A278" s="33" t="s">
        <v>223</v>
      </c>
    </row>
    <row r="279" spans="1:15" x14ac:dyDescent="0.25">
      <c r="A279" s="45" t="s">
        <v>224</v>
      </c>
      <c r="B279" s="79"/>
      <c r="C279" s="79"/>
      <c r="D279" s="79"/>
      <c r="E279" s="79"/>
      <c r="F279" s="79">
        <v>13.1219</v>
      </c>
      <c r="G279" s="79">
        <v>6.2072000000000003</v>
      </c>
      <c r="H279" s="79"/>
      <c r="I279" s="79"/>
      <c r="J279" s="79"/>
      <c r="K279" s="79"/>
      <c r="L279" s="79"/>
      <c r="M279" s="79"/>
      <c r="N279" s="79"/>
      <c r="O279" s="79"/>
    </row>
    <row r="280" spans="1:15" x14ac:dyDescent="0.25">
      <c r="A280" s="46" t="s">
        <v>225</v>
      </c>
      <c r="B280" s="80"/>
      <c r="C280" s="80"/>
      <c r="D280" s="80"/>
      <c r="E280" s="80"/>
      <c r="F280" s="80"/>
      <c r="G280" s="80"/>
      <c r="H280" s="80"/>
      <c r="I280" s="80"/>
      <c r="J280" s="80">
        <v>10.802973</v>
      </c>
      <c r="K280" s="80"/>
      <c r="L280" s="80"/>
      <c r="M280" s="80"/>
      <c r="N280" s="80"/>
      <c r="O280" s="80"/>
    </row>
    <row r="281" spans="1:15" x14ac:dyDescent="0.25">
      <c r="A281" s="57" t="s">
        <v>226</v>
      </c>
      <c r="B281" s="83">
        <f>SUM(B279:B280)</f>
        <v>0</v>
      </c>
      <c r="C281" s="83">
        <f t="shared" ref="C281:O281" si="39">SUM(C279:C280)</f>
        <v>0</v>
      </c>
      <c r="D281" s="83">
        <f t="shared" si="39"/>
        <v>0</v>
      </c>
      <c r="E281" s="83">
        <f t="shared" si="39"/>
        <v>0</v>
      </c>
      <c r="F281" s="83">
        <f t="shared" si="39"/>
        <v>13.1219</v>
      </c>
      <c r="G281" s="83">
        <f t="shared" si="39"/>
        <v>6.2072000000000003</v>
      </c>
      <c r="H281" s="83">
        <f t="shared" si="39"/>
        <v>0</v>
      </c>
      <c r="I281" s="83">
        <f t="shared" si="39"/>
        <v>0</v>
      </c>
      <c r="J281" s="83">
        <f t="shared" si="39"/>
        <v>10.802973</v>
      </c>
      <c r="K281" s="83">
        <f t="shared" si="39"/>
        <v>0</v>
      </c>
      <c r="L281" s="83">
        <f t="shared" si="39"/>
        <v>0</v>
      </c>
      <c r="M281" s="83">
        <f t="shared" si="39"/>
        <v>0</v>
      </c>
      <c r="N281" s="83">
        <f t="shared" si="39"/>
        <v>0</v>
      </c>
      <c r="O281" s="83">
        <f t="shared" si="39"/>
        <v>0</v>
      </c>
    </row>
    <row r="282" spans="1:15" x14ac:dyDescent="0.25">
      <c r="A282" s="33" t="s">
        <v>11</v>
      </c>
    </row>
    <row r="283" spans="1:15" x14ac:dyDescent="0.25">
      <c r="A283" s="45" t="s">
        <v>227</v>
      </c>
      <c r="B283" s="79"/>
      <c r="C283" s="79"/>
      <c r="D283" s="79"/>
      <c r="E283" s="79"/>
      <c r="F283" s="79">
        <v>3.6</v>
      </c>
      <c r="G283" s="79">
        <v>3.6</v>
      </c>
      <c r="H283" s="79">
        <v>3.6</v>
      </c>
      <c r="I283" s="79">
        <v>6</v>
      </c>
      <c r="J283" s="79">
        <v>6.5</v>
      </c>
      <c r="K283" s="79">
        <f>0.5+7</f>
        <v>7.5</v>
      </c>
      <c r="L283" s="79">
        <v>8</v>
      </c>
      <c r="M283" s="79">
        <v>8</v>
      </c>
      <c r="N283" s="79">
        <v>8</v>
      </c>
      <c r="O283" s="79">
        <v>8</v>
      </c>
    </row>
    <row r="284" spans="1:15" x14ac:dyDescent="0.25">
      <c r="A284" s="45" t="s">
        <v>228</v>
      </c>
      <c r="B284" s="97"/>
      <c r="C284" s="97"/>
      <c r="D284" s="97"/>
      <c r="E284" s="97"/>
      <c r="F284" s="97"/>
      <c r="G284" s="97"/>
      <c r="H284" s="97"/>
      <c r="I284" s="97">
        <v>2.5</v>
      </c>
      <c r="J284" s="97"/>
      <c r="K284" s="97"/>
      <c r="L284" s="97"/>
      <c r="M284" s="97"/>
      <c r="N284" s="97"/>
      <c r="O284" s="97"/>
    </row>
    <row r="285" spans="1:15" x14ac:dyDescent="0.25">
      <c r="A285" s="45" t="s">
        <v>229</v>
      </c>
      <c r="B285" s="79"/>
      <c r="C285" s="79"/>
      <c r="D285" s="79"/>
      <c r="E285" s="79"/>
      <c r="F285" s="79"/>
      <c r="G285" s="79">
        <v>0.65</v>
      </c>
      <c r="H285" s="79"/>
      <c r="I285" s="79">
        <v>2.9572799999999999</v>
      </c>
      <c r="J285" s="79">
        <v>2</v>
      </c>
      <c r="K285" s="79"/>
      <c r="L285" s="79">
        <v>2</v>
      </c>
      <c r="M285" s="79"/>
      <c r="N285" s="79"/>
      <c r="O285" s="79"/>
    </row>
    <row r="286" spans="1:15" x14ac:dyDescent="0.25">
      <c r="A286" s="45" t="s">
        <v>230</v>
      </c>
      <c r="B286" s="79"/>
      <c r="C286" s="79"/>
      <c r="D286" s="79"/>
      <c r="E286" s="79"/>
      <c r="F286" s="79"/>
      <c r="G286" s="79"/>
      <c r="H286" s="79"/>
      <c r="I286" s="79">
        <v>6.6700920000000004</v>
      </c>
      <c r="J286" s="79"/>
      <c r="K286" s="79"/>
      <c r="L286" s="79"/>
      <c r="M286" s="79"/>
      <c r="N286" s="79"/>
      <c r="O286" s="79"/>
    </row>
    <row r="287" spans="1:15" x14ac:dyDescent="0.25">
      <c r="A287" s="45" t="s">
        <v>231</v>
      </c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>
        <v>4</v>
      </c>
      <c r="O287" s="79">
        <v>4.3995600000000001</v>
      </c>
    </row>
    <row r="288" spans="1:15" x14ac:dyDescent="0.25">
      <c r="A288" s="45" t="s">
        <v>232</v>
      </c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>
        <v>2.4</v>
      </c>
      <c r="O288" s="79">
        <v>2.4</v>
      </c>
    </row>
    <row r="289" spans="1:15" x14ac:dyDescent="0.25">
      <c r="A289" s="45" t="s">
        <v>233</v>
      </c>
      <c r="B289" s="79"/>
      <c r="C289" s="79"/>
      <c r="D289" s="79"/>
      <c r="E289" s="79"/>
      <c r="F289" s="79"/>
      <c r="G289" s="79"/>
      <c r="H289" s="79"/>
      <c r="I289" s="79"/>
      <c r="J289" s="79">
        <f>0.897244+0.359538+0.23561</f>
        <v>1.4923920000000002</v>
      </c>
      <c r="K289" s="79">
        <f>3+0.62531+0.189048</f>
        <v>3.8143579999999999</v>
      </c>
      <c r="L289" s="79">
        <v>3</v>
      </c>
      <c r="M289" s="79"/>
      <c r="N289" s="79">
        <v>47.4</v>
      </c>
      <c r="O289" s="79">
        <f>0.012495+44.512779</f>
        <v>44.525274000000003</v>
      </c>
    </row>
    <row r="290" spans="1:15" x14ac:dyDescent="0.25">
      <c r="A290" s="57" t="s">
        <v>235</v>
      </c>
      <c r="B290" s="81">
        <f ca="1">SUM(B283:B330)</f>
        <v>42</v>
      </c>
      <c r="C290" s="81">
        <f ca="1">SUM(C283:C330)</f>
        <v>47.4</v>
      </c>
      <c r="D290" s="81">
        <f ca="1">SUM(D283:D330)</f>
        <v>117.7</v>
      </c>
      <c r="E290" s="81">
        <f ca="1">SUM(E283:E330)</f>
        <v>93.4</v>
      </c>
      <c r="F290" s="81">
        <f ca="1">SUM(F283:F330)</f>
        <v>51.872152</v>
      </c>
      <c r="G290" s="81">
        <f t="shared" ref="G290:M290" si="40">SUM(G283:G289)</f>
        <v>4.25</v>
      </c>
      <c r="H290" s="81">
        <f t="shared" si="40"/>
        <v>3.6</v>
      </c>
      <c r="I290" s="81">
        <f t="shared" si="40"/>
        <v>18.127372000000001</v>
      </c>
      <c r="J290" s="81">
        <f t="shared" si="40"/>
        <v>9.9923920000000006</v>
      </c>
      <c r="K290" s="81">
        <f t="shared" si="40"/>
        <v>11.314358</v>
      </c>
      <c r="L290" s="81">
        <f t="shared" si="40"/>
        <v>13</v>
      </c>
      <c r="M290" s="81">
        <f t="shared" si="40"/>
        <v>8</v>
      </c>
      <c r="N290" s="81">
        <f>SUM(N283:N289)</f>
        <v>61.8</v>
      </c>
      <c r="O290" s="81">
        <f>SUM(O283:O289)</f>
        <v>59.324834000000003</v>
      </c>
    </row>
    <row r="291" spans="1:15" x14ac:dyDescent="0.25">
      <c r="A291" s="57" t="s">
        <v>235</v>
      </c>
      <c r="B291" s="81">
        <f t="shared" ref="B291:M291" ca="1" si="41">SUM(B290+B281+B277+B273+B265+B261)</f>
        <v>459.829635</v>
      </c>
      <c r="C291" s="81">
        <f t="shared" ca="1" si="41"/>
        <v>459.829635</v>
      </c>
      <c r="D291" s="81">
        <f t="shared" ca="1" si="41"/>
        <v>459.829635</v>
      </c>
      <c r="E291" s="81">
        <f t="shared" ca="1" si="41"/>
        <v>459.829635</v>
      </c>
      <c r="F291" s="81">
        <f t="shared" ca="1" si="41"/>
        <v>459.829635</v>
      </c>
      <c r="G291" s="81">
        <f t="shared" si="41"/>
        <v>459.829635</v>
      </c>
      <c r="H291" s="81">
        <f t="shared" si="41"/>
        <v>538.02045500000008</v>
      </c>
      <c r="I291" s="81">
        <f t="shared" si="41"/>
        <v>634.45518900000002</v>
      </c>
      <c r="J291" s="81">
        <f t="shared" si="41"/>
        <v>586.87169799999992</v>
      </c>
      <c r="K291" s="81">
        <f t="shared" si="41"/>
        <v>576.23293799999999</v>
      </c>
      <c r="L291" s="81">
        <f t="shared" si="41"/>
        <v>615.1</v>
      </c>
      <c r="M291" s="81">
        <f t="shared" si="41"/>
        <v>844</v>
      </c>
      <c r="N291" s="81">
        <f>SUM(N290+N281+N277+N273+N265+N261)</f>
        <v>807.01199999999994</v>
      </c>
      <c r="O291" s="81">
        <f>SUM(O290+O281+O277+O273+O265+O261+O269)</f>
        <v>1811.1671569999999</v>
      </c>
    </row>
    <row r="292" spans="1:15" ht="15.75" thickBot="1" x14ac:dyDescent="0.3">
      <c r="A292" s="144"/>
      <c r="B292" s="143"/>
      <c r="C292" s="143"/>
      <c r="D292" s="143"/>
      <c r="E292" s="143"/>
      <c r="F292" s="143"/>
      <c r="G292" s="145"/>
      <c r="H292" s="146"/>
      <c r="I292" s="146"/>
      <c r="J292" s="146"/>
      <c r="K292" s="146"/>
      <c r="L292" s="146"/>
      <c r="M292" s="146"/>
      <c r="N292" s="146"/>
      <c r="O292" s="146"/>
    </row>
    <row r="293" spans="1:15" x14ac:dyDescent="0.25">
      <c r="A293" s="70" t="s">
        <v>236</v>
      </c>
      <c r="B293" s="113">
        <v>2006</v>
      </c>
      <c r="C293" s="114">
        <v>2007</v>
      </c>
      <c r="D293" s="113">
        <v>2008</v>
      </c>
      <c r="E293" s="114">
        <v>2009</v>
      </c>
      <c r="F293" s="113">
        <v>2010</v>
      </c>
      <c r="G293" s="114">
        <v>2011</v>
      </c>
      <c r="H293" s="113">
        <v>2012</v>
      </c>
      <c r="I293" s="114">
        <v>2013</v>
      </c>
      <c r="J293" s="113">
        <v>2014</v>
      </c>
      <c r="K293" s="114">
        <v>2015</v>
      </c>
      <c r="L293" s="113">
        <v>2016</v>
      </c>
      <c r="M293" s="114">
        <v>2017</v>
      </c>
      <c r="N293" s="114">
        <v>2018</v>
      </c>
      <c r="O293" s="114">
        <v>2019</v>
      </c>
    </row>
    <row r="294" spans="1:15" x14ac:dyDescent="0.25">
      <c r="A294" s="71" t="s">
        <v>237</v>
      </c>
    </row>
    <row r="295" spans="1:15" x14ac:dyDescent="0.25">
      <c r="A295" s="72" t="s">
        <v>238</v>
      </c>
      <c r="B295" s="79">
        <v>4</v>
      </c>
      <c r="C295" s="79">
        <v>12</v>
      </c>
      <c r="D295" s="79">
        <v>18</v>
      </c>
      <c r="E295" s="79"/>
      <c r="F295" s="79">
        <v>2.58</v>
      </c>
      <c r="G295" s="79">
        <v>2.08</v>
      </c>
      <c r="H295" s="79">
        <v>22.1</v>
      </c>
      <c r="I295" s="79">
        <v>17.671579999999999</v>
      </c>
      <c r="J295" s="79"/>
      <c r="K295" s="79"/>
      <c r="L295" s="79"/>
      <c r="M295" s="79"/>
      <c r="N295" s="79">
        <v>6.1</v>
      </c>
      <c r="O295" s="79">
        <v>0.60152000000000005</v>
      </c>
    </row>
    <row r="296" spans="1:15" x14ac:dyDescent="0.25">
      <c r="A296" s="50" t="s">
        <v>239</v>
      </c>
      <c r="B296" s="79">
        <v>3.1</v>
      </c>
      <c r="C296" s="79">
        <v>7.1</v>
      </c>
      <c r="D296" s="79">
        <v>15</v>
      </c>
      <c r="E296" s="79">
        <v>7</v>
      </c>
      <c r="F296" s="79">
        <v>23.5</v>
      </c>
      <c r="G296" s="79">
        <v>16.8</v>
      </c>
      <c r="H296" s="79">
        <v>12.3</v>
      </c>
      <c r="I296" s="79">
        <v>15.206</v>
      </c>
      <c r="J296" s="79"/>
      <c r="K296" s="79"/>
      <c r="L296" s="79">
        <v>19.600000000000001</v>
      </c>
      <c r="M296" s="79"/>
      <c r="N296" s="79">
        <v>29.7</v>
      </c>
      <c r="O296" s="79">
        <v>34.57</v>
      </c>
    </row>
    <row r="297" spans="1:15" x14ac:dyDescent="0.25">
      <c r="A297" s="50" t="s">
        <v>240</v>
      </c>
      <c r="B297" s="97"/>
      <c r="C297" s="97"/>
      <c r="D297" s="97"/>
      <c r="E297" s="97"/>
      <c r="F297" s="97"/>
      <c r="G297" s="97"/>
      <c r="H297" s="97"/>
      <c r="I297" s="97"/>
      <c r="J297" s="97"/>
      <c r="K297" s="97">
        <v>4</v>
      </c>
      <c r="L297" s="97"/>
      <c r="M297" s="97"/>
      <c r="N297" s="97"/>
      <c r="O297" s="97"/>
    </row>
    <row r="298" spans="1:15" x14ac:dyDescent="0.25">
      <c r="A298" s="50" t="s">
        <v>241</v>
      </c>
      <c r="B298" s="79"/>
      <c r="C298" s="79"/>
      <c r="D298" s="79">
        <v>13</v>
      </c>
      <c r="E298" s="79">
        <v>9.8000000000000007</v>
      </c>
      <c r="F298" s="79">
        <v>24.5</v>
      </c>
      <c r="G298" s="79">
        <v>24</v>
      </c>
      <c r="H298" s="79">
        <f>6.412+12.981982+11.9</f>
        <v>31.293982</v>
      </c>
      <c r="I298" s="79">
        <v>38.793813999999998</v>
      </c>
      <c r="J298" s="79">
        <f>10+10.890705</f>
        <v>20.890705000000001</v>
      </c>
      <c r="K298" s="79">
        <f>1.6144+9.975+15+15.751219</f>
        <v>42.340618999999997</v>
      </c>
      <c r="L298" s="79">
        <v>27.5</v>
      </c>
      <c r="M298" s="79">
        <v>32.5</v>
      </c>
      <c r="N298" s="79">
        <v>71.099999999999994</v>
      </c>
      <c r="O298" s="79">
        <v>28.732236</v>
      </c>
    </row>
    <row r="299" spans="1:15" x14ac:dyDescent="0.25">
      <c r="A299" s="51" t="s">
        <v>242</v>
      </c>
      <c r="B299" s="80"/>
      <c r="C299" s="80">
        <v>1</v>
      </c>
      <c r="D299" s="80"/>
      <c r="E299" s="80"/>
      <c r="F299" s="80"/>
      <c r="G299" s="80"/>
      <c r="H299" s="80"/>
      <c r="I299" s="80"/>
      <c r="J299" s="80">
        <v>10.01</v>
      </c>
      <c r="K299" s="80"/>
      <c r="L299" s="80">
        <v>1.8</v>
      </c>
      <c r="M299" s="80"/>
      <c r="N299" s="80"/>
      <c r="O299" s="80"/>
    </row>
    <row r="300" spans="1:15" x14ac:dyDescent="0.25">
      <c r="A300" s="46" t="s">
        <v>69</v>
      </c>
      <c r="B300" s="80"/>
      <c r="C300" s="80"/>
      <c r="D300" s="80"/>
      <c r="E300" s="80"/>
      <c r="F300" s="80"/>
      <c r="G300" s="80">
        <v>5</v>
      </c>
      <c r="H300" s="80">
        <v>5.5</v>
      </c>
      <c r="I300" s="80">
        <v>6</v>
      </c>
      <c r="J300" s="80">
        <v>7</v>
      </c>
      <c r="K300" s="80">
        <v>7.5</v>
      </c>
      <c r="L300" s="80">
        <v>7.5</v>
      </c>
      <c r="M300" s="80">
        <v>7.5</v>
      </c>
      <c r="N300" s="80">
        <v>7.5</v>
      </c>
      <c r="O300" s="80">
        <v>7.5</v>
      </c>
    </row>
    <row r="301" spans="1:15" x14ac:dyDescent="0.25">
      <c r="A301" s="52" t="s">
        <v>243</v>
      </c>
      <c r="B301" s="90">
        <f t="shared" ref="B301:M301" si="42">SUM(B295:B300)</f>
        <v>7.1</v>
      </c>
      <c r="C301" s="90">
        <f t="shared" si="42"/>
        <v>20.100000000000001</v>
      </c>
      <c r="D301" s="90">
        <f t="shared" si="42"/>
        <v>46</v>
      </c>
      <c r="E301" s="90">
        <f t="shared" si="42"/>
        <v>16.8</v>
      </c>
      <c r="F301" s="90">
        <f t="shared" si="42"/>
        <v>50.58</v>
      </c>
      <c r="G301" s="90">
        <f t="shared" si="42"/>
        <v>47.88</v>
      </c>
      <c r="H301" s="90">
        <f t="shared" si="42"/>
        <v>71.193982000000005</v>
      </c>
      <c r="I301" s="90">
        <f t="shared" si="42"/>
        <v>77.671393999999992</v>
      </c>
      <c r="J301" s="90">
        <f t="shared" si="42"/>
        <v>37.900705000000002</v>
      </c>
      <c r="K301" s="90">
        <f t="shared" si="42"/>
        <v>53.840618999999997</v>
      </c>
      <c r="L301" s="90">
        <f t="shared" si="42"/>
        <v>56.4</v>
      </c>
      <c r="M301" s="90">
        <f t="shared" si="42"/>
        <v>40</v>
      </c>
      <c r="N301" s="90">
        <f>SUM(N295:N300)</f>
        <v>114.39999999999999</v>
      </c>
      <c r="O301" s="90">
        <f>SUM(O295:O300)</f>
        <v>71.403756000000001</v>
      </c>
    </row>
    <row r="302" spans="1:15" x14ac:dyDescent="0.25">
      <c r="A302" s="37" t="s">
        <v>244</v>
      </c>
    </row>
    <row r="303" spans="1:15" x14ac:dyDescent="0.25">
      <c r="A303" s="73" t="s">
        <v>245</v>
      </c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79">
        <v>10.4</v>
      </c>
      <c r="O303" s="79"/>
    </row>
    <row r="304" spans="1:15" x14ac:dyDescent="0.25">
      <c r="A304" s="73" t="s">
        <v>246</v>
      </c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79">
        <v>4</v>
      </c>
      <c r="O304" s="79"/>
    </row>
    <row r="305" spans="1:15" x14ac:dyDescent="0.25">
      <c r="A305" s="73" t="s">
        <v>247</v>
      </c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79">
        <v>11</v>
      </c>
      <c r="O305" s="79">
        <v>12.651</v>
      </c>
    </row>
    <row r="306" spans="1:15" x14ac:dyDescent="0.25">
      <c r="A306" s="73" t="s">
        <v>248</v>
      </c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79">
        <v>1.6</v>
      </c>
      <c r="O306" s="79"/>
    </row>
    <row r="307" spans="1:15" x14ac:dyDescent="0.25">
      <c r="A307" s="73" t="s">
        <v>249</v>
      </c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79">
        <v>0.3</v>
      </c>
      <c r="O307" s="79"/>
    </row>
    <row r="308" spans="1:15" x14ac:dyDescent="0.25">
      <c r="A308" s="73" t="s">
        <v>250</v>
      </c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79">
        <v>4</v>
      </c>
      <c r="O308" s="79">
        <v>8.5</v>
      </c>
    </row>
    <row r="309" spans="1:15" x14ac:dyDescent="0.25">
      <c r="A309" s="34" t="s">
        <v>251</v>
      </c>
      <c r="B309" s="79">
        <v>21.8</v>
      </c>
      <c r="C309" s="79">
        <v>32.799999999999997</v>
      </c>
      <c r="D309" s="79">
        <v>54.5</v>
      </c>
      <c r="E309" s="79">
        <v>44</v>
      </c>
      <c r="F309" s="79">
        <v>48</v>
      </c>
      <c r="G309" s="79">
        <v>40.299999999999997</v>
      </c>
      <c r="H309" s="79">
        <f>12+6.238+26.5+13.905</f>
        <v>58.643000000000001</v>
      </c>
      <c r="I309" s="79">
        <f>115.374566+14</f>
        <v>129.37456600000002</v>
      </c>
      <c r="J309" s="79">
        <f>8+13+13+10+5+25+9.715+10.308684+10+23.1</f>
        <v>127.123684</v>
      </c>
      <c r="K309" s="79">
        <f>51.8605+16.5+6.187+24.4625+10+5+30.8+23.1</f>
        <v>167.91</v>
      </c>
      <c r="L309" s="79">
        <v>162.1</v>
      </c>
      <c r="M309" s="79">
        <v>171.5</v>
      </c>
      <c r="N309" s="79">
        <v>234.7</v>
      </c>
      <c r="O309" s="79">
        <v>183.666821</v>
      </c>
    </row>
    <row r="310" spans="1:15" x14ac:dyDescent="0.25">
      <c r="A310" s="34" t="s">
        <v>252</v>
      </c>
      <c r="B310" s="79">
        <v>17</v>
      </c>
      <c r="C310" s="79">
        <v>24.8</v>
      </c>
      <c r="D310" s="79">
        <v>20</v>
      </c>
      <c r="E310" s="79">
        <v>15</v>
      </c>
      <c r="F310" s="79">
        <v>24.5</v>
      </c>
      <c r="G310" s="79">
        <v>24.7</v>
      </c>
      <c r="H310" s="79">
        <f>15.5+22</f>
        <v>37.5</v>
      </c>
      <c r="I310" s="79">
        <v>48.561</v>
      </c>
      <c r="J310" s="79">
        <f>15+33.551772+6.216+7.1365+15</f>
        <v>76.904271999999992</v>
      </c>
      <c r="K310" s="79">
        <f>20+20+54.206875</f>
        <v>94.206874999999997</v>
      </c>
      <c r="L310" s="79">
        <v>69.3</v>
      </c>
      <c r="M310" s="79">
        <v>80.599999999999994</v>
      </c>
      <c r="N310" s="79">
        <v>119</v>
      </c>
      <c r="O310" s="79">
        <v>114.053595</v>
      </c>
    </row>
    <row r="311" spans="1:15" x14ac:dyDescent="0.25">
      <c r="A311" s="34" t="s">
        <v>253</v>
      </c>
      <c r="B311" s="79"/>
      <c r="C311" s="79"/>
      <c r="D311" s="79">
        <v>5</v>
      </c>
      <c r="E311" s="79">
        <v>6.5</v>
      </c>
      <c r="F311" s="79"/>
      <c r="G311" s="79"/>
      <c r="H311" s="79">
        <v>5.3</v>
      </c>
      <c r="I311" s="79"/>
      <c r="J311" s="79"/>
      <c r="K311" s="79"/>
      <c r="L311" s="79">
        <v>12.2</v>
      </c>
      <c r="M311" s="79">
        <v>8</v>
      </c>
      <c r="N311" s="79">
        <v>19.2</v>
      </c>
      <c r="O311" s="79">
        <v>17.57</v>
      </c>
    </row>
    <row r="312" spans="1:15" x14ac:dyDescent="0.25">
      <c r="A312" s="34" t="s">
        <v>254</v>
      </c>
      <c r="B312" s="79"/>
      <c r="C312" s="79"/>
      <c r="D312" s="79"/>
      <c r="E312" s="79"/>
      <c r="F312" s="79"/>
      <c r="G312" s="79"/>
      <c r="H312" s="79">
        <v>4.7</v>
      </c>
      <c r="I312" s="79">
        <v>13.804122</v>
      </c>
      <c r="J312" s="79">
        <v>6.5</v>
      </c>
      <c r="K312" s="79">
        <v>7.4</v>
      </c>
      <c r="L312" s="79"/>
      <c r="M312" s="79">
        <v>4</v>
      </c>
      <c r="N312" s="79">
        <v>7.5</v>
      </c>
      <c r="O312" s="79"/>
    </row>
    <row r="313" spans="1:15" x14ac:dyDescent="0.25">
      <c r="A313" s="34" t="s">
        <v>255</v>
      </c>
      <c r="B313" s="79"/>
      <c r="C313" s="79"/>
      <c r="D313" s="79"/>
      <c r="E313" s="79"/>
      <c r="F313" s="79"/>
      <c r="G313" s="79"/>
      <c r="H313" s="79">
        <v>2.7389999999999999</v>
      </c>
      <c r="I313" s="79"/>
      <c r="J313" s="79"/>
      <c r="K313" s="79"/>
      <c r="L313" s="79"/>
      <c r="M313" s="79"/>
      <c r="N313" s="79"/>
      <c r="O313" s="79"/>
    </row>
    <row r="314" spans="1:15" x14ac:dyDescent="0.25">
      <c r="A314" s="35" t="s">
        <v>256</v>
      </c>
      <c r="B314" s="99"/>
      <c r="C314" s="99"/>
      <c r="D314" s="99"/>
      <c r="E314" s="99"/>
      <c r="F314" s="99"/>
      <c r="G314" s="99"/>
      <c r="H314" s="99"/>
      <c r="I314" s="99">
        <v>8.26</v>
      </c>
      <c r="J314" s="99"/>
      <c r="K314" s="99"/>
      <c r="L314" s="99"/>
      <c r="M314" s="99"/>
      <c r="N314" s="99"/>
      <c r="O314" s="99"/>
    </row>
    <row r="315" spans="1:15" x14ac:dyDescent="0.25">
      <c r="A315" s="46" t="s">
        <v>86</v>
      </c>
      <c r="B315" s="80">
        <v>3</v>
      </c>
      <c r="C315" s="80">
        <v>5</v>
      </c>
      <c r="D315" s="80">
        <v>5</v>
      </c>
      <c r="E315" s="80">
        <v>5</v>
      </c>
      <c r="F315" s="80">
        <v>4.5</v>
      </c>
      <c r="G315" s="79">
        <v>5</v>
      </c>
      <c r="H315" s="80">
        <v>5.5</v>
      </c>
      <c r="I315" s="79">
        <v>8</v>
      </c>
      <c r="J315" s="80">
        <v>18.5</v>
      </c>
      <c r="K315" s="79"/>
      <c r="L315" s="80">
        <v>13</v>
      </c>
      <c r="M315" s="79">
        <v>13</v>
      </c>
      <c r="N315" s="79">
        <v>13</v>
      </c>
      <c r="O315" s="79">
        <v>13</v>
      </c>
    </row>
    <row r="316" spans="1:15" x14ac:dyDescent="0.25">
      <c r="A316" s="36" t="s">
        <v>257</v>
      </c>
      <c r="B316" s="83">
        <f t="shared" ref="B316:O316" si="43">SUM(B303:B315)</f>
        <v>41.8</v>
      </c>
      <c r="C316" s="83">
        <f t="shared" si="43"/>
        <v>62.599999999999994</v>
      </c>
      <c r="D316" s="83">
        <f t="shared" si="43"/>
        <v>84.5</v>
      </c>
      <c r="E316" s="83">
        <f t="shared" si="43"/>
        <v>70.5</v>
      </c>
      <c r="F316" s="83">
        <f t="shared" si="43"/>
        <v>77</v>
      </c>
      <c r="G316" s="83">
        <f t="shared" si="43"/>
        <v>70</v>
      </c>
      <c r="H316" s="83">
        <f t="shared" si="43"/>
        <v>114.38200000000001</v>
      </c>
      <c r="I316" s="83">
        <f t="shared" si="43"/>
        <v>207.99968800000002</v>
      </c>
      <c r="J316" s="83">
        <f t="shared" si="43"/>
        <v>229.02795599999999</v>
      </c>
      <c r="K316" s="83">
        <f t="shared" si="43"/>
        <v>269.51687499999997</v>
      </c>
      <c r="L316" s="83">
        <f t="shared" si="43"/>
        <v>256.59999999999997</v>
      </c>
      <c r="M316" s="83">
        <f t="shared" si="43"/>
        <v>277.10000000000002</v>
      </c>
      <c r="N316" s="83">
        <f>SUM(N303:N315)</f>
        <v>424.7</v>
      </c>
      <c r="O316" s="83">
        <f t="shared" si="43"/>
        <v>349.441416</v>
      </c>
    </row>
    <row r="317" spans="1:15" x14ac:dyDescent="0.25">
      <c r="A317" s="37" t="s">
        <v>2</v>
      </c>
    </row>
    <row r="318" spans="1:15" x14ac:dyDescent="0.25">
      <c r="A318" s="34" t="s">
        <v>304</v>
      </c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>
        <v>4</v>
      </c>
    </row>
    <row r="319" spans="1:15" x14ac:dyDescent="0.25">
      <c r="A319" s="34" t="s">
        <v>258</v>
      </c>
      <c r="B319" s="79"/>
      <c r="C319" s="79"/>
      <c r="D319" s="79"/>
      <c r="E319" s="79">
        <v>14.7</v>
      </c>
      <c r="F319" s="79"/>
      <c r="G319" s="79"/>
      <c r="H319" s="79"/>
      <c r="I319" s="79"/>
      <c r="J319" s="79"/>
      <c r="K319" s="79"/>
      <c r="L319" s="79"/>
      <c r="M319" s="79"/>
      <c r="N319" s="79"/>
      <c r="O319" s="79"/>
    </row>
    <row r="320" spans="1:15" x14ac:dyDescent="0.25">
      <c r="A320" s="34" t="s">
        <v>259</v>
      </c>
      <c r="B320" s="79"/>
      <c r="C320" s="79"/>
      <c r="D320" s="79"/>
      <c r="E320" s="79">
        <v>8</v>
      </c>
      <c r="F320" s="79"/>
      <c r="G320" s="79"/>
      <c r="H320" s="79"/>
      <c r="I320" s="79"/>
      <c r="J320" s="79"/>
      <c r="K320" s="79"/>
      <c r="L320" s="79"/>
      <c r="M320" s="79"/>
      <c r="N320" s="79"/>
      <c r="O320" s="79"/>
    </row>
    <row r="321" spans="1:15" x14ac:dyDescent="0.25">
      <c r="A321" s="34" t="s">
        <v>260</v>
      </c>
      <c r="B321" s="97"/>
      <c r="C321" s="79">
        <v>3.5</v>
      </c>
      <c r="D321" s="79">
        <v>6.2</v>
      </c>
      <c r="E321" s="79">
        <v>6.1</v>
      </c>
      <c r="F321" s="97"/>
      <c r="G321" s="97"/>
      <c r="H321" s="97"/>
      <c r="I321" s="97"/>
      <c r="J321" s="97"/>
      <c r="K321" s="97"/>
      <c r="L321" s="97"/>
      <c r="M321" s="97"/>
      <c r="N321" s="97"/>
      <c r="O321" s="97"/>
    </row>
    <row r="322" spans="1:15" x14ac:dyDescent="0.25">
      <c r="A322" s="34" t="s">
        <v>261</v>
      </c>
      <c r="B322" s="97"/>
      <c r="C322" s="97"/>
      <c r="D322" s="97"/>
      <c r="E322" s="97"/>
      <c r="F322" s="97"/>
      <c r="G322" s="97"/>
      <c r="H322" s="97"/>
      <c r="I322" s="97">
        <v>11.795498</v>
      </c>
      <c r="J322" s="97"/>
      <c r="K322" s="97">
        <v>0.9</v>
      </c>
      <c r="L322" s="97"/>
      <c r="M322" s="97">
        <v>0.5</v>
      </c>
      <c r="N322" s="97">
        <v>2.7</v>
      </c>
      <c r="O322" s="97">
        <v>2.97</v>
      </c>
    </row>
    <row r="323" spans="1:15" x14ac:dyDescent="0.25">
      <c r="A323" s="35" t="s">
        <v>262</v>
      </c>
      <c r="B323" s="100"/>
      <c r="C323" s="100"/>
      <c r="D323" s="100"/>
      <c r="E323" s="100"/>
      <c r="F323" s="100"/>
      <c r="G323" s="100"/>
      <c r="H323" s="100"/>
      <c r="I323" s="100"/>
      <c r="J323" s="100">
        <v>4.0428459999999999</v>
      </c>
      <c r="K323" s="100">
        <v>6.7784700000000004</v>
      </c>
      <c r="L323" s="100"/>
      <c r="M323" s="100"/>
      <c r="N323" s="100"/>
      <c r="O323" s="100"/>
    </row>
    <row r="324" spans="1:15" x14ac:dyDescent="0.25">
      <c r="A324" s="36" t="s">
        <v>263</v>
      </c>
      <c r="B324" s="101">
        <f>SUM(B319:B323)</f>
        <v>0</v>
      </c>
      <c r="C324" s="101">
        <f t="shared" ref="C324:N324" si="44">SUM(C319:C323)</f>
        <v>3.5</v>
      </c>
      <c r="D324" s="101">
        <f t="shared" si="44"/>
        <v>6.2</v>
      </c>
      <c r="E324" s="101">
        <f t="shared" si="44"/>
        <v>28.799999999999997</v>
      </c>
      <c r="F324" s="101">
        <f t="shared" si="44"/>
        <v>0</v>
      </c>
      <c r="G324" s="101">
        <f t="shared" si="44"/>
        <v>0</v>
      </c>
      <c r="H324" s="101">
        <f t="shared" si="44"/>
        <v>0</v>
      </c>
      <c r="I324" s="101">
        <f t="shared" si="44"/>
        <v>11.795498</v>
      </c>
      <c r="J324" s="101">
        <f t="shared" si="44"/>
        <v>4.0428459999999999</v>
      </c>
      <c r="K324" s="101">
        <f t="shared" si="44"/>
        <v>7.6784700000000008</v>
      </c>
      <c r="L324" s="101">
        <f t="shared" si="44"/>
        <v>0</v>
      </c>
      <c r="M324" s="101">
        <f t="shared" si="44"/>
        <v>0.5</v>
      </c>
      <c r="N324" s="101">
        <f t="shared" si="44"/>
        <v>2.7</v>
      </c>
      <c r="O324" s="101">
        <f>SUM(O318:O323)</f>
        <v>6.9700000000000006</v>
      </c>
    </row>
    <row r="325" spans="1:15" ht="15.75" thickBot="1" x14ac:dyDescent="0.3">
      <c r="A325" s="36" t="s">
        <v>301</v>
      </c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>
        <v>0.65799799999999997</v>
      </c>
    </row>
    <row r="326" spans="1:15" ht="15.75" thickBot="1" x14ac:dyDescent="0.3">
      <c r="A326" s="61" t="s">
        <v>266</v>
      </c>
      <c r="B326" s="89">
        <f t="shared" ref="B326:M326" si="45">B301+B316+B324</f>
        <v>48.9</v>
      </c>
      <c r="C326" s="89">
        <f t="shared" si="45"/>
        <v>86.199999999999989</v>
      </c>
      <c r="D326" s="89">
        <f t="shared" si="45"/>
        <v>136.69999999999999</v>
      </c>
      <c r="E326" s="89">
        <f t="shared" si="45"/>
        <v>116.1</v>
      </c>
      <c r="F326" s="89">
        <f t="shared" si="45"/>
        <v>127.58</v>
      </c>
      <c r="G326" s="89">
        <f t="shared" si="45"/>
        <v>117.88</v>
      </c>
      <c r="H326" s="89">
        <f t="shared" si="45"/>
        <v>185.57598200000001</v>
      </c>
      <c r="I326" s="89">
        <f t="shared" si="45"/>
        <v>297.46658000000002</v>
      </c>
      <c r="J326" s="89">
        <f t="shared" si="45"/>
        <v>270.97150699999997</v>
      </c>
      <c r="K326" s="89">
        <f t="shared" si="45"/>
        <v>331.03596399999998</v>
      </c>
      <c r="L326" s="89">
        <f t="shared" si="45"/>
        <v>312.99999999999994</v>
      </c>
      <c r="M326" s="89">
        <f t="shared" si="45"/>
        <v>317.60000000000002</v>
      </c>
      <c r="N326" s="89">
        <f>N301+N316+N324</f>
        <v>541.80000000000007</v>
      </c>
      <c r="O326" s="89">
        <f>O301+O316+O324+O325</f>
        <v>428.47317000000004</v>
      </c>
    </row>
    <row r="327" spans="1:15" ht="15.75" thickTop="1" x14ac:dyDescent="0.25">
      <c r="A327" s="142"/>
      <c r="B327" s="142"/>
      <c r="C327" s="142"/>
      <c r="D327" s="142"/>
      <c r="E327" s="142"/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</row>
    <row r="328" spans="1:15" x14ac:dyDescent="0.25">
      <c r="A328" s="37" t="s">
        <v>296</v>
      </c>
    </row>
    <row r="329" spans="1:15" x14ac:dyDescent="0.25">
      <c r="A329" s="35" t="s">
        <v>307</v>
      </c>
      <c r="B329" s="79">
        <v>87.6</v>
      </c>
      <c r="C329" s="79">
        <v>113.6</v>
      </c>
      <c r="D329" s="79">
        <v>139.30000000000001</v>
      </c>
      <c r="E329" s="79">
        <v>117.2</v>
      </c>
      <c r="F329" s="79">
        <v>124.6</v>
      </c>
      <c r="G329" s="79">
        <v>121.5</v>
      </c>
      <c r="H329" s="79">
        <v>125.882226</v>
      </c>
      <c r="I329" s="79">
        <v>137.79582500000001</v>
      </c>
      <c r="J329" s="79">
        <v>114.18531299999999</v>
      </c>
      <c r="K329" s="79">
        <v>122.423143</v>
      </c>
      <c r="L329" s="79"/>
      <c r="M329" s="79"/>
      <c r="N329" s="79"/>
      <c r="O329" s="79"/>
    </row>
    <row r="330" spans="1:15" x14ac:dyDescent="0.25">
      <c r="A330" s="35" t="s">
        <v>234</v>
      </c>
      <c r="B330" s="80">
        <v>42</v>
      </c>
      <c r="C330" s="80">
        <v>47.4</v>
      </c>
      <c r="D330" s="80">
        <v>117.7</v>
      </c>
      <c r="E330" s="80">
        <v>93.4</v>
      </c>
      <c r="F330" s="80">
        <f>37.150621+11.121531</f>
        <v>48.272151999999998</v>
      </c>
      <c r="G330" s="80">
        <v>51.014282999999999</v>
      </c>
      <c r="H330" s="80">
        <f>45.452214+9.089724+0.216686</f>
        <v>54.758624000000005</v>
      </c>
      <c r="I330" s="80">
        <v>65.896690000000007</v>
      </c>
      <c r="J330" s="80">
        <f>58.911437+13.3+6.811515+0.509347+0.546361+0.976904+0.196897</f>
        <v>81.252461000000025</v>
      </c>
      <c r="K330" s="80">
        <f>0.01944+0.486972+0.9267+19.671951+3.543557+56.4917+1.648629</f>
        <v>82.788949000000002</v>
      </c>
      <c r="L330" s="80">
        <v>261.5</v>
      </c>
      <c r="M330" s="80">
        <v>262.5</v>
      </c>
      <c r="N330" s="80">
        <v>310.5</v>
      </c>
      <c r="O330" s="79">
        <f>297.526424+14.358847+12.958745+1.824745+30.173354</f>
        <v>356.84211500000009</v>
      </c>
    </row>
    <row r="331" spans="1:15" ht="15.75" thickBot="1" x14ac:dyDescent="0.3">
      <c r="A331" s="35" t="s">
        <v>264</v>
      </c>
      <c r="B331" s="100"/>
      <c r="C331" s="100"/>
      <c r="D331" s="100"/>
      <c r="E331" s="100"/>
      <c r="F331" s="100"/>
      <c r="G331" s="100"/>
      <c r="H331" s="100">
        <v>0.18</v>
      </c>
      <c r="I331" s="100">
        <f>1.163136+0.8</f>
        <v>1.963136</v>
      </c>
      <c r="J331" s="100">
        <f>0.795178+1.04544</f>
        <v>1.8406180000000001</v>
      </c>
      <c r="K331" s="100">
        <f>2.464+2.18564</f>
        <v>4.6496399999999998</v>
      </c>
      <c r="L331" s="100">
        <v>6.2</v>
      </c>
      <c r="M331" s="100">
        <f>1.5+4.8</f>
        <v>6.3</v>
      </c>
      <c r="N331" s="100">
        <v>0</v>
      </c>
      <c r="O331" s="100"/>
    </row>
    <row r="332" spans="1:15" ht="15.75" thickBot="1" x14ac:dyDescent="0.3">
      <c r="A332" s="61" t="s">
        <v>265</v>
      </c>
      <c r="B332" s="101">
        <f t="shared" ref="B332:O332" si="46">SUM(B329:B331)</f>
        <v>129.6</v>
      </c>
      <c r="C332" s="101">
        <f t="shared" si="46"/>
        <v>161</v>
      </c>
      <c r="D332" s="101">
        <f t="shared" si="46"/>
        <v>257</v>
      </c>
      <c r="E332" s="101">
        <f t="shared" si="46"/>
        <v>210.60000000000002</v>
      </c>
      <c r="F332" s="101">
        <f t="shared" si="46"/>
        <v>172.872152</v>
      </c>
      <c r="G332" s="101">
        <f t="shared" si="46"/>
        <v>172.51428300000001</v>
      </c>
      <c r="H332" s="101">
        <f t="shared" si="46"/>
        <v>180.82085000000001</v>
      </c>
      <c r="I332" s="101">
        <f t="shared" si="46"/>
        <v>205.65565100000001</v>
      </c>
      <c r="J332" s="101">
        <f t="shared" si="46"/>
        <v>197.27839200000003</v>
      </c>
      <c r="K332" s="101">
        <f t="shared" si="46"/>
        <v>209.86173199999999</v>
      </c>
      <c r="L332" s="101">
        <f t="shared" si="46"/>
        <v>267.7</v>
      </c>
      <c r="M332" s="101">
        <f t="shared" si="46"/>
        <v>268.8</v>
      </c>
      <c r="N332" s="101">
        <f>SUM(N329:N331)</f>
        <v>310.5</v>
      </c>
      <c r="O332" s="101">
        <f t="shared" si="46"/>
        <v>356.84211500000009</v>
      </c>
    </row>
    <row r="333" spans="1:15" ht="16.5" thickTop="1" thickBot="1" x14ac:dyDescent="0.3"/>
    <row r="334" spans="1:15" ht="15.75" thickBot="1" x14ac:dyDescent="0.3">
      <c r="A334" s="63" t="s">
        <v>267</v>
      </c>
      <c r="B334" s="86">
        <f t="shared" ref="B334:O334" ca="1" si="47">B326+B290+B281+B277+B273+B265+B261+B269+B332</f>
        <v>393</v>
      </c>
      <c r="C334" s="86">
        <f t="shared" ca="1" si="47"/>
        <v>647.30000000000007</v>
      </c>
      <c r="D334" s="86">
        <f t="shared" ca="1" si="47"/>
        <v>936.40000000000009</v>
      </c>
      <c r="E334" s="86">
        <f t="shared" ca="1" si="47"/>
        <v>952</v>
      </c>
      <c r="F334" s="86">
        <f t="shared" ca="1" si="47"/>
        <v>770.75665200000014</v>
      </c>
      <c r="G334" s="86">
        <f t="shared" si="47"/>
        <v>770.22391799999991</v>
      </c>
      <c r="H334" s="86">
        <f t="shared" si="47"/>
        <v>929.41728699999999</v>
      </c>
      <c r="I334" s="86">
        <f t="shared" si="47"/>
        <v>1175.5774200000001</v>
      </c>
      <c r="J334" s="86">
        <f t="shared" si="47"/>
        <v>1458.3221229999999</v>
      </c>
      <c r="K334" s="86">
        <f t="shared" si="47"/>
        <v>1740.3306340000001</v>
      </c>
      <c r="L334" s="86">
        <f t="shared" si="47"/>
        <v>3091.3999999999996</v>
      </c>
      <c r="M334" s="86">
        <f t="shared" si="47"/>
        <v>3797.3920840000001</v>
      </c>
      <c r="N334" s="86">
        <f t="shared" si="47"/>
        <v>2871.7977649999998</v>
      </c>
      <c r="O334" s="86">
        <f t="shared" si="47"/>
        <v>2596.482442</v>
      </c>
    </row>
    <row r="335" spans="1:15" x14ac:dyDescent="0.25">
      <c r="A335" s="74"/>
    </row>
    <row r="336" spans="1:15" ht="15.75" thickBot="1" x14ac:dyDescent="0.3"/>
    <row r="337" spans="1:15" ht="18.75" x14ac:dyDescent="0.3">
      <c r="A337" s="75" t="s">
        <v>268</v>
      </c>
      <c r="B337" s="102">
        <f t="shared" ref="B337:O337" ca="1" si="48">B52+B247+B334</f>
        <v>2964.47</v>
      </c>
      <c r="C337" s="102">
        <f t="shared" ca="1" si="48"/>
        <v>3029.42</v>
      </c>
      <c r="D337" s="102">
        <f t="shared" ca="1" si="48"/>
        <v>4290.8740000000007</v>
      </c>
      <c r="E337" s="102">
        <f t="shared" ca="1" si="48"/>
        <v>4243.51</v>
      </c>
      <c r="F337" s="102">
        <f t="shared" ca="1" si="48"/>
        <v>3473.5811480000002</v>
      </c>
      <c r="G337" s="103">
        <f t="shared" ca="1" si="48"/>
        <v>2966.0378430000001</v>
      </c>
      <c r="H337" s="102">
        <f t="shared" ca="1" si="48"/>
        <v>3268.4008154500002</v>
      </c>
      <c r="I337" s="103">
        <f t="shared" ca="1" si="48"/>
        <v>4264.8995133900007</v>
      </c>
      <c r="J337" s="102">
        <f t="shared" ca="1" si="48"/>
        <v>4461.8446185986159</v>
      </c>
      <c r="K337" s="103">
        <f t="shared" ca="1" si="48"/>
        <v>5257.8103881400002</v>
      </c>
      <c r="L337" s="102">
        <f t="shared" si="48"/>
        <v>7100.53</v>
      </c>
      <c r="M337" s="102">
        <f t="shared" si="48"/>
        <v>7389.9383390000003</v>
      </c>
      <c r="N337" s="103">
        <f t="shared" si="48"/>
        <v>8030.8977649999997</v>
      </c>
      <c r="O337" s="141">
        <f t="shared" si="48"/>
        <v>7530.4033190000009</v>
      </c>
    </row>
    <row r="338" spans="1:15" x14ac:dyDescent="0.25">
      <c r="A338" s="110" t="s">
        <v>270</v>
      </c>
      <c r="B338" s="104">
        <v>1134128</v>
      </c>
      <c r="C338" s="104">
        <v>1311611</v>
      </c>
      <c r="D338" s="104">
        <v>1261017</v>
      </c>
      <c r="E338" s="104">
        <v>1339200</v>
      </c>
      <c r="F338" s="104">
        <v>1411821</v>
      </c>
      <c r="G338" s="104">
        <v>1545839</v>
      </c>
      <c r="H338" s="104">
        <v>1674831</v>
      </c>
      <c r="I338" s="104">
        <v>1935420</v>
      </c>
      <c r="J338" s="104">
        <v>2043603</v>
      </c>
      <c r="K338" s="104">
        <v>2286822</v>
      </c>
      <c r="L338" s="111">
        <v>2536392</v>
      </c>
      <c r="M338" s="111">
        <v>2622869</v>
      </c>
      <c r="N338" s="112">
        <v>2811339</v>
      </c>
      <c r="O338" s="112">
        <v>3028115</v>
      </c>
    </row>
    <row r="339" spans="1:15" ht="15.75" thickBot="1" x14ac:dyDescent="0.3">
      <c r="A339" s="105" t="s">
        <v>269</v>
      </c>
      <c r="B339" s="106">
        <f t="shared" ref="B339:O339" ca="1" si="49">B337/B338</f>
        <v>2.6138760351565255E-3</v>
      </c>
      <c r="C339" s="106">
        <f t="shared" ca="1" si="49"/>
        <v>2.3096939565160706E-3</v>
      </c>
      <c r="D339" s="106">
        <f t="shared" ca="1" si="49"/>
        <v>3.4027090832240967E-3</v>
      </c>
      <c r="E339" s="106">
        <f t="shared" ca="1" si="49"/>
        <v>3.1686902628434888E-3</v>
      </c>
      <c r="F339" s="106">
        <f t="shared" ca="1" si="49"/>
        <v>2.4603552065028075E-3</v>
      </c>
      <c r="G339" s="107">
        <f t="shared" ca="1" si="49"/>
        <v>1.9187236465117001E-3</v>
      </c>
      <c r="H339" s="106">
        <f t="shared" ca="1" si="49"/>
        <v>1.9514809646167285E-3</v>
      </c>
      <c r="I339" s="107">
        <f t="shared" ca="1" si="49"/>
        <v>2.2036041341879286E-3</v>
      </c>
      <c r="J339" s="106">
        <f t="shared" ca="1" si="49"/>
        <v>2.1833226016005143E-3</v>
      </c>
      <c r="K339" s="107">
        <f t="shared" ca="1" si="49"/>
        <v>2.29917780576713E-3</v>
      </c>
      <c r="L339" s="108">
        <f t="shared" si="49"/>
        <v>2.7994608088970471E-3</v>
      </c>
      <c r="M339" s="107">
        <f t="shared" si="49"/>
        <v>2.8175018801930253E-3</v>
      </c>
      <c r="N339" s="109">
        <f t="shared" si="49"/>
        <v>2.8566095248563051E-3</v>
      </c>
      <c r="O339" s="109">
        <f t="shared" si="49"/>
        <v>2.4868287099400125E-3</v>
      </c>
    </row>
    <row r="340" spans="1:15" ht="15.75" thickTop="1" x14ac:dyDescent="0.25"/>
  </sheetData>
  <mergeCells count="1">
    <mergeCell ref="A1:M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EDC5-39FC-46F5-8945-932BCF20DECF}">
  <dimension ref="A1:O68"/>
  <sheetViews>
    <sheetView showGridLines="0" workbookViewId="0">
      <selection sqref="A1:M1"/>
    </sheetView>
  </sheetViews>
  <sheetFormatPr defaultRowHeight="15" x14ac:dyDescent="0.25"/>
  <cols>
    <col min="1" max="1" width="77.7109375" bestFit="1" customWidth="1"/>
    <col min="2" max="14" width="9.85546875" bestFit="1" customWidth="1"/>
    <col min="15" max="15" width="9.5703125" bestFit="1" customWidth="1"/>
  </cols>
  <sheetData>
    <row r="1" spans="1:15" ht="18" x14ac:dyDescent="0.25">
      <c r="A1" s="147" t="s">
        <v>311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5" ht="15.75" thickBot="1" x14ac:dyDescent="0.3">
      <c r="A2" s="115"/>
      <c r="B2" s="115"/>
      <c r="C2" s="116"/>
      <c r="D2" s="115"/>
      <c r="E2" s="116"/>
      <c r="F2" s="116"/>
      <c r="G2" s="116"/>
      <c r="H2" s="1"/>
      <c r="I2" s="1"/>
      <c r="J2" s="1"/>
      <c r="K2" s="1"/>
      <c r="L2" s="1"/>
      <c r="M2" s="1"/>
    </row>
    <row r="3" spans="1:15" ht="15.75" thickBot="1" x14ac:dyDescent="0.3">
      <c r="A3" s="125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N3" s="88"/>
      <c r="O3" s="88"/>
    </row>
    <row r="4" spans="1:15" ht="15.75" thickBot="1" x14ac:dyDescent="0.3">
      <c r="A4" s="126" t="s">
        <v>1</v>
      </c>
      <c r="B4" s="76">
        <v>2006</v>
      </c>
      <c r="C4" s="77">
        <v>2007</v>
      </c>
      <c r="D4" s="78">
        <v>2008</v>
      </c>
      <c r="E4" s="77">
        <v>2009</v>
      </c>
      <c r="F4" s="78">
        <v>2010</v>
      </c>
      <c r="G4" s="77">
        <v>2011</v>
      </c>
      <c r="H4" s="78">
        <v>2012</v>
      </c>
      <c r="I4" s="77">
        <v>2013</v>
      </c>
      <c r="J4" s="78">
        <v>2014</v>
      </c>
      <c r="K4" s="77">
        <v>2015</v>
      </c>
      <c r="L4" s="78">
        <v>2016</v>
      </c>
      <c r="M4" s="77">
        <v>2017</v>
      </c>
      <c r="N4" s="77">
        <v>2018</v>
      </c>
      <c r="O4" s="77">
        <v>2019</v>
      </c>
    </row>
    <row r="5" spans="1:15" x14ac:dyDescent="0.25">
      <c r="A5" s="127" t="s">
        <v>10</v>
      </c>
      <c r="B5" s="117">
        <f>'ODAtafla 2006-2019'!B13</f>
        <v>886.4</v>
      </c>
      <c r="C5" s="117">
        <f>'ODAtafla 2006-2019'!C13</f>
        <v>939.90000000000009</v>
      </c>
      <c r="D5" s="117">
        <f>'ODAtafla 2006-2019'!D13</f>
        <v>1668.4</v>
      </c>
      <c r="E5" s="117">
        <f>'ODAtafla 2006-2019'!E13</f>
        <v>1544.3</v>
      </c>
      <c r="F5" s="117">
        <f>'ODAtafla 2006-2019'!F13</f>
        <v>1266.7276600000002</v>
      </c>
      <c r="G5" s="117">
        <f>'ODAtafla 2006-2019'!G13</f>
        <v>1011.5522229999999</v>
      </c>
      <c r="H5" s="117">
        <f>'ODAtafla 2006-2019'!H13</f>
        <v>1067.989135</v>
      </c>
      <c r="I5" s="117">
        <f>'ODAtafla 2006-2019'!I13</f>
        <v>1465.80357</v>
      </c>
      <c r="J5" s="117">
        <f>'ODAtafla 2006-2019'!J13</f>
        <v>1261.543179</v>
      </c>
      <c r="K5" s="117">
        <f>'ODAtafla 2006-2019'!K13</f>
        <v>1395.4753909999999</v>
      </c>
      <c r="L5" s="117">
        <f>'ODAtafla 2006-2019'!L13</f>
        <v>1432</v>
      </c>
      <c r="M5" s="117">
        <f>'ODAtafla 2006-2019'!M13</f>
        <v>1226.2</v>
      </c>
      <c r="N5" s="117">
        <f>'ODAtafla 2006-2019'!N13</f>
        <v>2199.6</v>
      </c>
      <c r="O5" s="117">
        <f>'ODAtafla 2006-2019'!O13</f>
        <v>1792.709648</v>
      </c>
    </row>
    <row r="6" spans="1:15" ht="15.75" thickBot="1" x14ac:dyDescent="0.3">
      <c r="A6" s="128" t="s">
        <v>15</v>
      </c>
      <c r="B6" s="118">
        <f ca="1">'ODAtafla 2006-2019'!B19</f>
        <v>140.19999999999999</v>
      </c>
      <c r="C6" s="118">
        <f ca="1">'ODAtafla 2006-2019'!C19</f>
        <v>176.1</v>
      </c>
      <c r="D6" s="118">
        <f ca="1">'ODAtafla 2006-2019'!D19</f>
        <v>291.20000000000005</v>
      </c>
      <c r="E6" s="118">
        <f ca="1">'ODAtafla 2006-2019'!E19</f>
        <v>202.2</v>
      </c>
      <c r="F6" s="118">
        <f ca="1">'ODAtafla 2006-2019'!F19</f>
        <v>151.29999999999998</v>
      </c>
      <c r="G6" s="118">
        <f ca="1">'ODAtafla 2006-2019'!G19</f>
        <v>149.30000000000001</v>
      </c>
      <c r="H6" s="118">
        <f ca="1">'ODAtafla 2006-2019'!H19</f>
        <v>179.12715800000001</v>
      </c>
      <c r="I6" s="118">
        <f ca="1">'ODAtafla 2006-2019'!I19</f>
        <v>306.95161800000005</v>
      </c>
      <c r="J6" s="118">
        <f ca="1">'ODAtafla 2006-2019'!J19</f>
        <v>333.03003899999999</v>
      </c>
      <c r="K6" s="118">
        <f ca="1">'ODAtafla 2006-2019'!K19</f>
        <v>274.07728600000002</v>
      </c>
      <c r="L6" s="118">
        <f>'ODAtafla 2006-2019'!L19</f>
        <v>171.79999999999998</v>
      </c>
      <c r="M6" s="118">
        <f>'ODAtafla 2006-2019'!M19</f>
        <v>143.60000000000002</v>
      </c>
      <c r="N6" s="118">
        <f>'ODAtafla 2006-2019'!N19</f>
        <v>299.7</v>
      </c>
      <c r="O6" s="118">
        <f>'ODAtafla 2006-2019'!O19</f>
        <v>458.530824</v>
      </c>
    </row>
    <row r="7" spans="1:15" ht="15.75" thickBot="1" x14ac:dyDescent="0.3">
      <c r="A7" s="129" t="s">
        <v>16</v>
      </c>
      <c r="B7" s="89">
        <f ca="1">'ODAtafla 2006-2019'!B20</f>
        <v>1026.5999999999999</v>
      </c>
      <c r="C7" s="89">
        <f ca="1">'ODAtafla 2006-2019'!C20</f>
        <v>1116</v>
      </c>
      <c r="D7" s="89">
        <f ca="1">'ODAtafla 2006-2019'!D20</f>
        <v>1959.6000000000001</v>
      </c>
      <c r="E7" s="89">
        <f ca="1">'ODAtafla 2006-2019'!E20</f>
        <v>1746.5</v>
      </c>
      <c r="F7" s="89">
        <f ca="1">'ODAtafla 2006-2019'!F20</f>
        <v>1418.0276600000002</v>
      </c>
      <c r="G7" s="89">
        <f ca="1">'ODAtafla 2006-2019'!G20</f>
        <v>1160.8522229999999</v>
      </c>
      <c r="H7" s="89">
        <f ca="1">'ODAtafla 2006-2019'!H20</f>
        <v>1247.116293</v>
      </c>
      <c r="I7" s="89">
        <f ca="1">'ODAtafla 2006-2019'!I20</f>
        <v>1772.7551880000001</v>
      </c>
      <c r="J7" s="89">
        <f ca="1">'ODAtafla 2006-2019'!J20</f>
        <v>1594.573218</v>
      </c>
      <c r="K7" s="89">
        <f ca="1">'ODAtafla 2006-2019'!K20</f>
        <v>1669.5526769999999</v>
      </c>
      <c r="L7" s="89">
        <f>'ODAtafla 2006-2019'!L20</f>
        <v>1603.8</v>
      </c>
      <c r="M7" s="89">
        <f>'ODAtafla 2006-2019'!M20</f>
        <v>1369.8000000000002</v>
      </c>
      <c r="N7" s="89">
        <f>'ODAtafla 2006-2019'!N20</f>
        <v>2499.2999999999997</v>
      </c>
      <c r="O7" s="89">
        <f>'ODAtafla 2006-2019'!O20</f>
        <v>2251.240472</v>
      </c>
    </row>
    <row r="8" spans="1:15" ht="16.5" thickTop="1" thickBot="1" x14ac:dyDescent="0.3">
      <c r="A8" s="130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19"/>
      <c r="N8" s="119"/>
      <c r="O8" s="119"/>
    </row>
    <row r="9" spans="1:15" ht="15.75" thickBot="1" x14ac:dyDescent="0.3">
      <c r="A9" s="131" t="s">
        <v>18</v>
      </c>
      <c r="B9" s="76">
        <v>2006</v>
      </c>
      <c r="C9" s="77">
        <v>2007</v>
      </c>
      <c r="D9" s="78">
        <v>2008</v>
      </c>
      <c r="E9" s="77">
        <v>2009</v>
      </c>
      <c r="F9" s="78">
        <v>2010</v>
      </c>
      <c r="G9" s="77">
        <v>2011</v>
      </c>
      <c r="H9" s="78">
        <v>2012</v>
      </c>
      <c r="I9" s="77">
        <v>2013</v>
      </c>
      <c r="J9" s="78">
        <v>2014</v>
      </c>
      <c r="K9" s="77">
        <v>2015</v>
      </c>
      <c r="L9" s="78">
        <v>2016</v>
      </c>
      <c r="M9" s="77">
        <v>2017</v>
      </c>
      <c r="N9" s="77">
        <v>2018</v>
      </c>
      <c r="O9" s="77">
        <v>2019</v>
      </c>
    </row>
    <row r="10" spans="1:15" x14ac:dyDescent="0.25">
      <c r="A10" s="132" t="s">
        <v>10</v>
      </c>
      <c r="B10" s="96">
        <f>'ODAtafla 2006-2019'!B31</f>
        <v>0</v>
      </c>
      <c r="C10" s="96">
        <f>'ODAtafla 2006-2019'!C31</f>
        <v>0</v>
      </c>
      <c r="D10" s="96">
        <f>'ODAtafla 2006-2019'!D31</f>
        <v>0</v>
      </c>
      <c r="E10" s="96">
        <f>'ODAtafla 2006-2019'!E31</f>
        <v>242.56700000000001</v>
      </c>
      <c r="F10" s="96">
        <f>'ODAtafla 2006-2019'!F31</f>
        <v>216.91606400000001</v>
      </c>
      <c r="G10" s="96">
        <f>'ODAtafla 2006-2019'!G31</f>
        <v>100.754741</v>
      </c>
      <c r="H10" s="96">
        <f>'ODAtafla 2006-2019'!H31</f>
        <v>95.002113000000008</v>
      </c>
      <c r="I10" s="96">
        <f>'ODAtafla 2006-2019'!I31</f>
        <v>73.613609999999994</v>
      </c>
      <c r="J10" s="96">
        <f>'ODAtafla 2006-2019'!J31</f>
        <v>67.600720999999993</v>
      </c>
      <c r="K10" s="96">
        <f>'ODAtafla 2006-2019'!K31</f>
        <v>61.3</v>
      </c>
      <c r="L10" s="96">
        <f>'ODAtafla 2006-2019'!L31</f>
        <v>57.9</v>
      </c>
      <c r="M10" s="96">
        <f>'ODAtafla 2006-2019'!M31</f>
        <v>43.7</v>
      </c>
      <c r="N10" s="96">
        <f>'ODAtafla 2006-2019'!N31</f>
        <v>63.199999999999996</v>
      </c>
      <c r="O10" s="96">
        <f>'ODAtafla 2006-2019'!O31</f>
        <v>23.750330999999999</v>
      </c>
    </row>
    <row r="11" spans="1:15" x14ac:dyDescent="0.25">
      <c r="A11" s="133" t="s">
        <v>33</v>
      </c>
      <c r="B11" s="120">
        <f>'ODAtafla 2006-2019'!B42</f>
        <v>0</v>
      </c>
      <c r="C11" s="120">
        <f>'ODAtafla 2006-2019'!C42</f>
        <v>0</v>
      </c>
      <c r="D11" s="120">
        <f>'ODAtafla 2006-2019'!D42</f>
        <v>0</v>
      </c>
      <c r="E11" s="120">
        <f>'ODAtafla 2006-2019'!E42</f>
        <v>37.798999999999999</v>
      </c>
      <c r="F11" s="120">
        <f>'ODAtafla 2006-2019'!F42</f>
        <v>69.519933999999992</v>
      </c>
      <c r="G11" s="120">
        <f>'ODAtafla 2006-2019'!G42</f>
        <v>8.4208090000000002</v>
      </c>
      <c r="H11" s="120">
        <f>'ODAtafla 2006-2019'!H42</f>
        <v>7.2420170000000006</v>
      </c>
      <c r="I11" s="120">
        <f>'ODAtafla 2006-2019'!I42</f>
        <v>16.401008000000001</v>
      </c>
      <c r="J11" s="120">
        <f>'ODAtafla 2006-2019'!J42</f>
        <v>49.897924000000003</v>
      </c>
      <c r="K11" s="120">
        <f>'ODAtafla 2006-2019'!K42</f>
        <v>39.407906999999994</v>
      </c>
      <c r="L11" s="120">
        <f>'ODAtafla 2006-2019'!L42</f>
        <v>36.5</v>
      </c>
      <c r="M11" s="120">
        <f>'ODAtafla 2006-2019'!M42</f>
        <v>77.8</v>
      </c>
      <c r="N11" s="120">
        <f>'ODAtafla 2006-2019'!N42</f>
        <v>145.4</v>
      </c>
      <c r="O11" s="120">
        <f>'ODAtafla 2006-2019'!O42</f>
        <v>70.303241999999997</v>
      </c>
    </row>
    <row r="12" spans="1:15" x14ac:dyDescent="0.25">
      <c r="A12" s="132" t="s">
        <v>15</v>
      </c>
      <c r="B12" s="96">
        <f>'ODAtafla 2006-2019'!B46</f>
        <v>0</v>
      </c>
      <c r="C12" s="96">
        <f>'ODAtafla 2006-2019'!C46</f>
        <v>0</v>
      </c>
      <c r="D12" s="96">
        <f>'ODAtafla 2006-2019'!D46</f>
        <v>0</v>
      </c>
      <c r="E12" s="96">
        <f>'ODAtafla 2006-2019'!E46</f>
        <v>36.340000000000003</v>
      </c>
      <c r="F12" s="96">
        <f>'ODAtafla 2006-2019'!F46</f>
        <v>42.657655999999996</v>
      </c>
      <c r="G12" s="96">
        <f>'ODAtafla 2006-2019'!G46</f>
        <v>41.792636999999999</v>
      </c>
      <c r="H12" s="96">
        <f>'ODAtafla 2006-2019'!H46</f>
        <v>34.763134000000001</v>
      </c>
      <c r="I12" s="96">
        <f>'ODAtafla 2006-2019'!I46</f>
        <v>31.107948999999998</v>
      </c>
      <c r="J12" s="96">
        <f>'ODAtafla 2006-2019'!J46</f>
        <v>33.864193</v>
      </c>
      <c r="K12" s="96">
        <f>'ODAtafla 2006-2019'!K46</f>
        <v>70.345072000000002</v>
      </c>
      <c r="L12" s="96">
        <f>'ODAtafla 2006-2019'!L46</f>
        <v>51.8</v>
      </c>
      <c r="M12" s="96">
        <f>'ODAtafla 2006-2019'!M46</f>
        <v>45.4</v>
      </c>
      <c r="N12" s="96">
        <f>'ODAtafla 2006-2019'!N46</f>
        <v>26.8</v>
      </c>
      <c r="O12" s="96">
        <f>'ODAtafla 2006-2019'!O46</f>
        <v>69.385975999999999</v>
      </c>
    </row>
    <row r="13" spans="1:15" x14ac:dyDescent="0.25">
      <c r="A13" s="134" t="s">
        <v>18</v>
      </c>
      <c r="B13" s="85">
        <f>'ODAtafla 2006-2019'!B47</f>
        <v>590.5</v>
      </c>
      <c r="C13" s="85">
        <f>'ODAtafla 2006-2019'!C47</f>
        <v>600.6</v>
      </c>
      <c r="D13" s="85">
        <f>'ODAtafla 2006-2019'!D47</f>
        <v>567.9</v>
      </c>
      <c r="E13" s="85">
        <f>'ODAtafla 2006-2019'!E47</f>
        <v>316.70599999999996</v>
      </c>
      <c r="F13" s="85">
        <f>'ODAtafla 2006-2019'!F47</f>
        <v>329.09365400000002</v>
      </c>
      <c r="G13" s="85">
        <f>'ODAtafla 2006-2019'!G47</f>
        <v>150.96818699999997</v>
      </c>
      <c r="H13" s="85">
        <f>'ODAtafla 2006-2019'!H47</f>
        <v>137.00726400000002</v>
      </c>
      <c r="I13" s="85">
        <f>'ODAtafla 2006-2019'!I47</f>
        <v>121.12256699999999</v>
      </c>
      <c r="J13" s="85">
        <f>'ODAtafla 2006-2019'!J47</f>
        <v>151.36283800000001</v>
      </c>
      <c r="K13" s="85">
        <f>'ODAtafla 2006-2019'!K47</f>
        <v>171.05297899999999</v>
      </c>
      <c r="L13" s="85">
        <f>'ODAtafla 2006-2019'!L47</f>
        <v>146.20000000000002</v>
      </c>
      <c r="M13" s="85">
        <f>'ODAtafla 2006-2019'!M47</f>
        <v>166.9</v>
      </c>
      <c r="N13" s="85">
        <f>'ODAtafla 2006-2019'!N47</f>
        <v>235.40000000000003</v>
      </c>
      <c r="O13" s="85">
        <f>'ODAtafla 2006-2019'!O47</f>
        <v>163.439549</v>
      </c>
    </row>
    <row r="14" spans="1:15" ht="15.75" thickBot="1" x14ac:dyDescent="0.3">
      <c r="A14" s="134" t="s">
        <v>35</v>
      </c>
      <c r="B14" s="85">
        <f>'ODAtafla 2006-2019'!B49</f>
        <v>10.199999999999999</v>
      </c>
      <c r="C14" s="85">
        <f>'ODAtafla 2006-2019'!C49</f>
        <v>9.6</v>
      </c>
      <c r="D14" s="85">
        <f>'ODAtafla 2006-2019'!D49</f>
        <v>14.2</v>
      </c>
      <c r="E14" s="85">
        <f>'ODAtafla 2006-2019'!E49</f>
        <v>15.623999999999999</v>
      </c>
      <c r="F14" s="85">
        <f>'ODAtafla 2006-2019'!F49</f>
        <v>17</v>
      </c>
      <c r="G14" s="85">
        <f>'ODAtafla 2006-2019'!G49</f>
        <v>19.584</v>
      </c>
      <c r="H14" s="85">
        <f>'ODAtafla 2006-2019'!H49</f>
        <v>15.520985550000001</v>
      </c>
      <c r="I14" s="85">
        <f>'ODAtafla 2006-2019'!I49</f>
        <v>22.855937000000001</v>
      </c>
      <c r="J14" s="85">
        <f>'ODAtafla 2006-2019'!J49</f>
        <v>16.022589239999999</v>
      </c>
      <c r="K14" s="85">
        <f>'ODAtafla 2006-2019'!K49</f>
        <v>22.358000000000001</v>
      </c>
      <c r="L14" s="85">
        <f>'ODAtafla 2006-2019'!L49</f>
        <v>47.43</v>
      </c>
      <c r="M14" s="85">
        <f>'ODAtafla 2006-2019'!M49</f>
        <v>47.5</v>
      </c>
      <c r="N14" s="85">
        <f>'ODAtafla 2006-2019'!N49</f>
        <v>6.4</v>
      </c>
      <c r="O14" s="85">
        <f>'ODAtafla 2006-2019'!O49</f>
        <v>0</v>
      </c>
    </row>
    <row r="15" spans="1:15" ht="15.75" thickBot="1" x14ac:dyDescent="0.3">
      <c r="A15" s="135" t="s">
        <v>36</v>
      </c>
      <c r="B15" s="27">
        <f>'ODAtafla 2006-2019'!B50</f>
        <v>600.70000000000005</v>
      </c>
      <c r="C15" s="27">
        <f>'ODAtafla 2006-2019'!C50</f>
        <v>610.20000000000005</v>
      </c>
      <c r="D15" s="27">
        <f>'ODAtafla 2006-2019'!D50</f>
        <v>582.1</v>
      </c>
      <c r="E15" s="27">
        <f>'ODAtafla 2006-2019'!E50</f>
        <v>332.33</v>
      </c>
      <c r="F15" s="27">
        <f>'ODAtafla 2006-2019'!F50</f>
        <v>346.09365400000002</v>
      </c>
      <c r="G15" s="27">
        <f>'ODAtafla 2006-2019'!G50</f>
        <v>170.55218699999998</v>
      </c>
      <c r="H15" s="27">
        <f>'ODAtafla 2006-2019'!H50</f>
        <v>152.52824955000003</v>
      </c>
      <c r="I15" s="27">
        <f>'ODAtafla 2006-2019'!I50</f>
        <v>143.97850399999999</v>
      </c>
      <c r="J15" s="27">
        <f>'ODAtafla 2006-2019'!J50</f>
        <v>167.38542724000001</v>
      </c>
      <c r="K15" s="27">
        <f>'ODAtafla 2006-2019'!K50</f>
        <v>193.410979</v>
      </c>
      <c r="L15" s="27">
        <f>'ODAtafla 2006-2019'!L50</f>
        <v>193.63000000000002</v>
      </c>
      <c r="M15" s="27">
        <f>'ODAtafla 2006-2019'!M50</f>
        <v>214.4</v>
      </c>
      <c r="N15" s="27">
        <f>'ODAtafla 2006-2019'!N50</f>
        <v>241.80000000000004</v>
      </c>
      <c r="O15" s="27">
        <f>'ODAtafla 2006-2019'!O50</f>
        <v>163.439549</v>
      </c>
    </row>
    <row r="16" spans="1:15" ht="16.5" thickTop="1" thickBot="1" x14ac:dyDescent="0.3">
      <c r="A16" s="136"/>
      <c r="M16" s="29"/>
    </row>
    <row r="17" spans="1:15" ht="15.75" thickBot="1" x14ac:dyDescent="0.3">
      <c r="A17" s="137" t="s">
        <v>37</v>
      </c>
      <c r="B17" s="86">
        <f ca="1">'ODAtafla 2006-2019'!B52</f>
        <v>1627.3</v>
      </c>
      <c r="C17" s="86">
        <f ca="1">'ODAtafla 2006-2019'!C52</f>
        <v>1726.2</v>
      </c>
      <c r="D17" s="86">
        <f ca="1">'ODAtafla 2006-2019'!D52</f>
        <v>2541.7000000000003</v>
      </c>
      <c r="E17" s="86">
        <f ca="1">'ODAtafla 2006-2019'!E52</f>
        <v>2078.83</v>
      </c>
      <c r="F17" s="86">
        <f ca="1">'ODAtafla 2006-2019'!F52</f>
        <v>1764.1213140000002</v>
      </c>
      <c r="G17" s="86">
        <f ca="1">'ODAtafla 2006-2019'!G52</f>
        <v>1331.4044099999999</v>
      </c>
      <c r="H17" s="86">
        <f ca="1">'ODAtafla 2006-2019'!H52</f>
        <v>1399.6445425500001</v>
      </c>
      <c r="I17" s="86">
        <f ca="1">'ODAtafla 2006-2019'!I52</f>
        <v>1916.733692</v>
      </c>
      <c r="J17" s="86">
        <f ca="1">'ODAtafla 2006-2019'!J52</f>
        <v>1761.9586452399999</v>
      </c>
      <c r="K17" s="86">
        <f ca="1">'ODAtafla 2006-2019'!K52</f>
        <v>1862.9636559999999</v>
      </c>
      <c r="L17" s="86">
        <f>'ODAtafla 2006-2019'!L52</f>
        <v>1797.43</v>
      </c>
      <c r="M17" s="86">
        <f>'ODAtafla 2006-2019'!M52</f>
        <v>1584.2000000000003</v>
      </c>
      <c r="N17" s="86">
        <f>'ODAtafla 2006-2019'!N52</f>
        <v>2741.1</v>
      </c>
      <c r="O17" s="86">
        <f>'ODAtafla 2006-2019'!O52</f>
        <v>2414.6800210000001</v>
      </c>
    </row>
    <row r="18" spans="1:15" ht="15.75" thickBot="1" x14ac:dyDescent="0.3">
      <c r="A18" s="138"/>
    </row>
    <row r="19" spans="1:15" ht="15.75" thickBot="1" x14ac:dyDescent="0.3">
      <c r="A19" s="125" t="s">
        <v>38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8"/>
      <c r="N19" s="88"/>
      <c r="O19" s="88"/>
    </row>
    <row r="20" spans="1:15" ht="15.75" thickBot="1" x14ac:dyDescent="0.3">
      <c r="A20" s="126" t="s">
        <v>39</v>
      </c>
      <c r="B20" s="78">
        <v>2006</v>
      </c>
      <c r="C20" s="77">
        <v>2007</v>
      </c>
      <c r="D20" s="78">
        <v>2008</v>
      </c>
      <c r="E20" s="77">
        <v>2009</v>
      </c>
      <c r="F20" s="78">
        <v>2010</v>
      </c>
      <c r="G20" s="77">
        <v>2011</v>
      </c>
      <c r="H20" s="78">
        <v>2012</v>
      </c>
      <c r="I20" s="77">
        <v>2013</v>
      </c>
      <c r="J20" s="78">
        <v>2014</v>
      </c>
      <c r="K20" s="77">
        <v>2015</v>
      </c>
      <c r="L20" s="78">
        <v>2016</v>
      </c>
      <c r="M20" s="77">
        <v>2017</v>
      </c>
      <c r="N20" s="77">
        <v>2018</v>
      </c>
      <c r="O20" s="77">
        <v>2019</v>
      </c>
    </row>
    <row r="21" spans="1:15" x14ac:dyDescent="0.25">
      <c r="A21" s="132" t="s">
        <v>40</v>
      </c>
      <c r="B21" s="96">
        <f>'ODAtafla 2006-2019'!B56</f>
        <v>0</v>
      </c>
      <c r="C21" s="96">
        <f>'ODAtafla 2006-2019'!C56</f>
        <v>0</v>
      </c>
      <c r="D21" s="96">
        <f>'ODAtafla 2006-2019'!D56</f>
        <v>6.6840000000000002</v>
      </c>
      <c r="E21" s="96">
        <f>'ODAtafla 2006-2019'!E56</f>
        <v>12.1</v>
      </c>
      <c r="F21" s="96">
        <f>'ODAtafla 2006-2019'!F56</f>
        <v>13.1</v>
      </c>
      <c r="G21" s="96">
        <f>'ODAtafla 2006-2019'!G56</f>
        <v>18.899999999999999</v>
      </c>
      <c r="H21" s="96">
        <f>'ODAtafla 2006-2019'!H56</f>
        <v>18.865599840000002</v>
      </c>
      <c r="I21" s="96">
        <f>'ODAtafla 2006-2019'!I56</f>
        <v>18.527016</v>
      </c>
      <c r="J21" s="96">
        <f>'ODAtafla 2006-2019'!J56</f>
        <v>16.16562648</v>
      </c>
      <c r="K21" s="96">
        <f>'ODAtafla 2006-2019'!K56</f>
        <v>18</v>
      </c>
      <c r="L21" s="96">
        <f>'ODAtafla 2006-2019'!L56</f>
        <v>12.6</v>
      </c>
      <c r="M21" s="96">
        <f>'ODAtafla 2006-2019'!M56</f>
        <v>12.6</v>
      </c>
      <c r="N21" s="96">
        <f>'ODAtafla 2006-2019'!N56</f>
        <v>6.9</v>
      </c>
      <c r="O21" s="96">
        <f>'ODAtafla 2006-2019'!O56</f>
        <v>0</v>
      </c>
    </row>
    <row r="22" spans="1:15" x14ac:dyDescent="0.25">
      <c r="A22" s="132" t="s">
        <v>47</v>
      </c>
      <c r="B22" s="96">
        <f>'ODAtafla 2006-2019'!B67</f>
        <v>31.8</v>
      </c>
      <c r="C22" s="96">
        <f>'ODAtafla 2006-2019'!C67</f>
        <v>31.7</v>
      </c>
      <c r="D22" s="96">
        <f>'ODAtafla 2006-2019'!D67</f>
        <v>8.14</v>
      </c>
      <c r="E22" s="96">
        <f>'ODAtafla 2006-2019'!E67</f>
        <v>35.5</v>
      </c>
      <c r="F22" s="96">
        <f>'ODAtafla 2006-2019'!F67</f>
        <v>21.010961999999999</v>
      </c>
      <c r="G22" s="96">
        <f>'ODAtafla 2006-2019'!G67</f>
        <v>21.934899999999999</v>
      </c>
      <c r="H22" s="96">
        <f>'ODAtafla 2006-2019'!H67</f>
        <v>13.50300786</v>
      </c>
      <c r="I22" s="96">
        <f>'ODAtafla 2006-2019'!I67</f>
        <v>33.97852039</v>
      </c>
      <c r="J22" s="96">
        <f>'ODAtafla 2006-2019'!J67</f>
        <v>55.735568380000004</v>
      </c>
      <c r="K22" s="96">
        <f>'ODAtafla 2006-2019'!K67</f>
        <v>44.837491139999997</v>
      </c>
      <c r="L22" s="96">
        <f>'ODAtafla 2006-2019'!L67</f>
        <v>57.5</v>
      </c>
      <c r="M22" s="96">
        <f>'ODAtafla 2006-2019'!M67</f>
        <v>40.299999999999997</v>
      </c>
      <c r="N22" s="96">
        <f>'ODAtafla 2006-2019'!N67</f>
        <v>30.299999999999997</v>
      </c>
      <c r="O22" s="96">
        <f>'ODAtafla 2006-2019'!O67</f>
        <v>33.802177</v>
      </c>
    </row>
    <row r="23" spans="1:15" x14ac:dyDescent="0.25">
      <c r="A23" s="132" t="s">
        <v>54</v>
      </c>
      <c r="B23" s="96">
        <f>'ODAtafla 2006-2019'!B77</f>
        <v>60.3</v>
      </c>
      <c r="C23" s="96">
        <f>'ODAtafla 2006-2019'!C77</f>
        <v>59.9</v>
      </c>
      <c r="D23" s="96">
        <f>'ODAtafla 2006-2019'!D77</f>
        <v>61.6</v>
      </c>
      <c r="E23" s="96">
        <f>'ODAtafla 2006-2019'!E77</f>
        <v>71.7</v>
      </c>
      <c r="F23" s="96">
        <f>'ODAtafla 2006-2019'!F77</f>
        <v>60.323211000000001</v>
      </c>
      <c r="G23" s="96">
        <f>'ODAtafla 2006-2019'!G77</f>
        <v>25.086991000000001</v>
      </c>
      <c r="H23" s="96">
        <f>'ODAtafla 2006-2019'!H77</f>
        <v>28.886717999999998</v>
      </c>
      <c r="I23" s="96">
        <f>'ODAtafla 2006-2019'!I77</f>
        <v>66.283260999999996</v>
      </c>
      <c r="J23" s="96">
        <f>'ODAtafla 2006-2019'!J77</f>
        <v>52.430325999999994</v>
      </c>
      <c r="K23" s="96">
        <f>'ODAtafla 2006-2019'!K77</f>
        <v>49.180954</v>
      </c>
      <c r="L23" s="96">
        <f>'ODAtafla 2006-2019'!L77</f>
        <v>64.7</v>
      </c>
      <c r="M23" s="96">
        <f>'ODAtafla 2006-2019'!M77</f>
        <v>72.599999999999994</v>
      </c>
      <c r="N23" s="96">
        <f>'ODAtafla 2006-2019'!N77</f>
        <v>40.6</v>
      </c>
      <c r="O23" s="96">
        <f>'ODAtafla 2006-2019'!O77</f>
        <v>55.049370999999994</v>
      </c>
    </row>
    <row r="24" spans="1:15" x14ac:dyDescent="0.25">
      <c r="A24" s="132" t="s">
        <v>70</v>
      </c>
      <c r="B24" s="96">
        <f>'ODAtafla 2006-2019'!B93</f>
        <v>86</v>
      </c>
      <c r="C24" s="96">
        <f>'ODAtafla 2006-2019'!C93</f>
        <v>87.1</v>
      </c>
      <c r="D24" s="96">
        <f>'ODAtafla 2006-2019'!D93</f>
        <v>124.60000000000001</v>
      </c>
      <c r="E24" s="96">
        <f>'ODAtafla 2006-2019'!E93</f>
        <v>158.19999999999999</v>
      </c>
      <c r="F24" s="96">
        <f>'ODAtafla 2006-2019'!F93</f>
        <v>120.32252</v>
      </c>
      <c r="G24" s="96">
        <f>'ODAtafla 2006-2019'!G93</f>
        <v>133.05656300000001</v>
      </c>
      <c r="H24" s="96">
        <f>'ODAtafla 2006-2019'!H93</f>
        <v>147.33817399999998</v>
      </c>
      <c r="I24" s="96">
        <f>'ODAtafla 2006-2019'!I93</f>
        <v>170.263262</v>
      </c>
      <c r="J24" s="96">
        <f>'ODAtafla 2006-2019'!J93</f>
        <v>176.48202199999997</v>
      </c>
      <c r="K24" s="96">
        <f>'ODAtafla 2006-2019'!K93</f>
        <v>150.05282</v>
      </c>
      <c r="L24" s="96">
        <f>'ODAtafla 2006-2019'!L93</f>
        <v>208.5</v>
      </c>
      <c r="M24" s="96">
        <f>'ODAtafla 2006-2019'!M93</f>
        <v>212.89999999999998</v>
      </c>
      <c r="N24" s="96">
        <f>'ODAtafla 2006-2019'!N93</f>
        <v>259.3</v>
      </c>
      <c r="O24" s="96">
        <f>'ODAtafla 2006-2019'!O93</f>
        <v>203.20607600000002</v>
      </c>
    </row>
    <row r="25" spans="1:15" x14ac:dyDescent="0.25">
      <c r="A25" s="132" t="s">
        <v>87</v>
      </c>
      <c r="B25" s="96">
        <f>'ODAtafla 2006-2019'!B111</f>
        <v>36.299999999999997</v>
      </c>
      <c r="C25" s="96">
        <f>'ODAtafla 2006-2019'!C111</f>
        <v>42.400000000000006</v>
      </c>
      <c r="D25" s="96">
        <f>'ODAtafla 2006-2019'!D111</f>
        <v>93.199999999999989</v>
      </c>
      <c r="E25" s="96">
        <f>'ODAtafla 2006-2019'!E111</f>
        <v>137.79999999999998</v>
      </c>
      <c r="F25" s="96">
        <f>'ODAtafla 2006-2019'!F111</f>
        <v>130.42356000000001</v>
      </c>
      <c r="G25" s="96">
        <f>'ODAtafla 2006-2019'!G111</f>
        <v>120.76480600000001</v>
      </c>
      <c r="H25" s="96">
        <f>'ODAtafla 2006-2019'!H111</f>
        <v>150.489924</v>
      </c>
      <c r="I25" s="96">
        <f>'ODAtafla 2006-2019'!I111</f>
        <v>186.31395499999999</v>
      </c>
      <c r="J25" s="96">
        <f>'ODAtafla 2006-2019'!J111</f>
        <v>132.56150300000002</v>
      </c>
      <c r="K25" s="96">
        <f>'ODAtafla 2006-2019'!K111</f>
        <v>182.03538</v>
      </c>
      <c r="L25" s="96">
        <f>'ODAtafla 2006-2019'!L111</f>
        <v>186.7</v>
      </c>
      <c r="M25" s="96">
        <f>'ODAtafla 2006-2019'!M111</f>
        <v>182.79999999999998</v>
      </c>
      <c r="N25" s="96">
        <f>'ODAtafla 2006-2019'!N111</f>
        <v>191.1</v>
      </c>
      <c r="O25" s="96">
        <f>'ODAtafla 2006-2019'!O111</f>
        <v>269.03391399999998</v>
      </c>
    </row>
    <row r="26" spans="1:15" x14ac:dyDescent="0.25">
      <c r="A26" s="132" t="s">
        <v>93</v>
      </c>
      <c r="B26" s="96">
        <f>'ODAtafla 2006-2019'!B118</f>
        <v>7</v>
      </c>
      <c r="C26" s="96">
        <f>'ODAtafla 2006-2019'!C118</f>
        <v>15.5</v>
      </c>
      <c r="D26" s="96">
        <f>'ODAtafla 2006-2019'!D118</f>
        <v>32.700000000000003</v>
      </c>
      <c r="E26" s="96">
        <f>'ODAtafla 2006-2019'!E118</f>
        <v>48.4</v>
      </c>
      <c r="F26" s="96">
        <f>'ODAtafla 2006-2019'!F118</f>
        <v>78.977067000000005</v>
      </c>
      <c r="G26" s="96">
        <f>'ODAtafla 2006-2019'!G118</f>
        <v>48.764662999999999</v>
      </c>
      <c r="H26" s="96">
        <f>'ODAtafla 2006-2019'!H118</f>
        <v>72.033859000000007</v>
      </c>
      <c r="I26" s="96">
        <f>'ODAtafla 2006-2019'!I118</f>
        <v>96.41595199999999</v>
      </c>
      <c r="J26" s="96">
        <f>'ODAtafla 2006-2019'!J118</f>
        <v>92.894497000000001</v>
      </c>
      <c r="K26" s="96">
        <f>'ODAtafla 2006-2019'!K118</f>
        <v>30.690894</v>
      </c>
      <c r="L26" s="96">
        <f>'ODAtafla 2006-2019'!L118</f>
        <v>77.900000000000006</v>
      </c>
      <c r="M26" s="96">
        <f>'ODAtafla 2006-2019'!M118</f>
        <v>21.6</v>
      </c>
      <c r="N26" s="96">
        <f>'ODAtafla 2006-2019'!N118</f>
        <v>25.2</v>
      </c>
      <c r="O26" s="96">
        <f>'ODAtafla 2006-2019'!O118</f>
        <v>28.922907000000002</v>
      </c>
    </row>
    <row r="27" spans="1:15" x14ac:dyDescent="0.25">
      <c r="A27" s="132" t="s">
        <v>96</v>
      </c>
      <c r="B27" s="96">
        <f>'ODAtafla 2006-2019'!B123</f>
        <v>1.9</v>
      </c>
      <c r="C27" s="96">
        <f>'ODAtafla 2006-2019'!C123</f>
        <v>1.8</v>
      </c>
      <c r="D27" s="96">
        <f>'ODAtafla 2006-2019'!D123</f>
        <v>2.2999999999999998</v>
      </c>
      <c r="E27" s="96">
        <f>'ODAtafla 2006-2019'!E123</f>
        <v>7.3</v>
      </c>
      <c r="F27" s="96">
        <f>'ODAtafla 2006-2019'!F123</f>
        <v>10.8</v>
      </c>
      <c r="G27" s="96">
        <f>'ODAtafla 2006-2019'!G123</f>
        <v>22.277159999999999</v>
      </c>
      <c r="H27" s="96">
        <f>'ODAtafla 2006-2019'!H123</f>
        <v>11.154104999999999</v>
      </c>
      <c r="I27" s="96">
        <f>'ODAtafla 2006-2019'!I123</f>
        <v>6.749009</v>
      </c>
      <c r="J27" s="96">
        <f>'ODAtafla 2006-2019'!J123</f>
        <v>6.7641226000000003</v>
      </c>
      <c r="K27" s="96">
        <f>'ODAtafla 2006-2019'!K123</f>
        <v>9.7799999999999994</v>
      </c>
      <c r="L27" s="96">
        <f>'ODAtafla 2006-2019'!L123</f>
        <v>10.3</v>
      </c>
      <c r="M27" s="96">
        <f>'ODAtafla 2006-2019'!M123</f>
        <v>10.3</v>
      </c>
      <c r="N27" s="96">
        <f>'ODAtafla 2006-2019'!N123</f>
        <v>5.2</v>
      </c>
      <c r="O27" s="96">
        <f>'ODAtafla 2006-2019'!O123</f>
        <v>42.76502</v>
      </c>
    </row>
    <row r="28" spans="1:15" x14ac:dyDescent="0.25">
      <c r="A28" s="132" t="s">
        <v>104</v>
      </c>
      <c r="B28" s="96">
        <f>'ODAtafla 2006-2019'!B132</f>
        <v>31.900000000000002</v>
      </c>
      <c r="C28" s="96">
        <f>'ODAtafla 2006-2019'!C132</f>
        <v>41.2</v>
      </c>
      <c r="D28" s="96">
        <f>'ODAtafla 2006-2019'!D132</f>
        <v>46.9</v>
      </c>
      <c r="E28" s="96">
        <f>'ODAtafla 2006-2019'!E132</f>
        <v>44.9</v>
      </c>
      <c r="F28" s="96">
        <f>'ODAtafla 2006-2019'!F132</f>
        <v>46.601750000000003</v>
      </c>
      <c r="G28" s="96">
        <f>'ODAtafla 2006-2019'!G132</f>
        <v>15.786090999999999</v>
      </c>
      <c r="H28" s="96">
        <f>'ODAtafla 2006-2019'!H132</f>
        <v>25.307644000000003</v>
      </c>
      <c r="I28" s="96">
        <f>'ODAtafla 2006-2019'!I132</f>
        <v>53.119090999999997</v>
      </c>
      <c r="J28" s="96">
        <f>'ODAtafla 2006-2019'!J132</f>
        <v>26.718896999999998</v>
      </c>
      <c r="K28" s="96">
        <f>'ODAtafla 2006-2019'!K132</f>
        <v>127.701273</v>
      </c>
      <c r="L28" s="96">
        <f>'ODAtafla 2006-2019'!L132</f>
        <v>84.299999999999983</v>
      </c>
      <c r="M28" s="96">
        <f>'ODAtafla 2006-2019'!M132</f>
        <v>151.80000000000001</v>
      </c>
      <c r="N28" s="96">
        <f>'ODAtafla 2006-2019'!N132</f>
        <v>222</v>
      </c>
      <c r="O28" s="96">
        <f>'ODAtafla 2006-2019'!O132</f>
        <v>224.90079800000001</v>
      </c>
    </row>
    <row r="29" spans="1:15" x14ac:dyDescent="0.25">
      <c r="A29" s="132" t="s">
        <v>108</v>
      </c>
      <c r="B29" s="96">
        <f>'ODAtafla 2006-2019'!B137</f>
        <v>7.5</v>
      </c>
      <c r="C29" s="96">
        <f>'ODAtafla 2006-2019'!C137</f>
        <v>19.100000000000001</v>
      </c>
      <c r="D29" s="96">
        <f>'ODAtafla 2006-2019'!D137</f>
        <v>16.3</v>
      </c>
      <c r="E29" s="96">
        <f>'ODAtafla 2006-2019'!E137</f>
        <v>59</v>
      </c>
      <c r="F29" s="96">
        <f>'ODAtafla 2006-2019'!F137</f>
        <v>25.217939999999999</v>
      </c>
      <c r="G29" s="96">
        <f>'ODAtafla 2006-2019'!G137</f>
        <v>51.317700000000002</v>
      </c>
      <c r="H29" s="96">
        <f>'ODAtafla 2006-2019'!H137</f>
        <v>16.099595000000001</v>
      </c>
      <c r="I29" s="96">
        <f>'ODAtafla 2006-2019'!I137</f>
        <v>12.4015</v>
      </c>
      <c r="J29" s="96">
        <f>'ODAtafla 2006-2019'!J137</f>
        <v>11.998659</v>
      </c>
      <c r="K29" s="96">
        <f>'ODAtafla 2006-2019'!K137</f>
        <v>12.0015</v>
      </c>
      <c r="L29" s="96">
        <f>'ODAtafla 2006-2019'!L137</f>
        <v>12.7</v>
      </c>
      <c r="M29" s="96">
        <f>'ODAtafla 2006-2019'!M137</f>
        <v>64.400000000000006</v>
      </c>
      <c r="N29" s="96">
        <f>'ODAtafla 2006-2019'!N137</f>
        <v>87.3</v>
      </c>
      <c r="O29" s="96">
        <f>'ODAtafla 2006-2019'!O137</f>
        <v>127.793318</v>
      </c>
    </row>
    <row r="30" spans="1:15" x14ac:dyDescent="0.25">
      <c r="A30" s="132" t="s">
        <v>114</v>
      </c>
      <c r="B30" s="96">
        <f>'ODAtafla 2006-2019'!B146</f>
        <v>7.5</v>
      </c>
      <c r="C30" s="96">
        <f>'ODAtafla 2006-2019'!C146</f>
        <v>25</v>
      </c>
      <c r="D30" s="96">
        <f>'ODAtafla 2006-2019'!D146</f>
        <v>7.8</v>
      </c>
      <c r="E30" s="96">
        <f>'ODAtafla 2006-2019'!E146</f>
        <v>21.799999999999997</v>
      </c>
      <c r="F30" s="96">
        <f>'ODAtafla 2006-2019'!F146</f>
        <v>12.0801</v>
      </c>
      <c r="G30" s="96">
        <f>'ODAtafla 2006-2019'!G146</f>
        <v>23.028654</v>
      </c>
      <c r="H30" s="96">
        <f>'ODAtafla 2006-2019'!H146</f>
        <v>6.5407200000000003</v>
      </c>
      <c r="I30" s="96">
        <f>'ODAtafla 2006-2019'!I146</f>
        <v>6.0385850000000003</v>
      </c>
      <c r="J30" s="96">
        <f>'ODAtafla 2006-2019'!J146</f>
        <v>0</v>
      </c>
      <c r="K30" s="96">
        <f>'ODAtafla 2006-2019'!K146</f>
        <v>78.511499999999998</v>
      </c>
      <c r="L30" s="96">
        <f>'ODAtafla 2006-2019'!L146</f>
        <v>338.6</v>
      </c>
      <c r="M30" s="96">
        <f>'ODAtafla 2006-2019'!M146</f>
        <v>65.8</v>
      </c>
      <c r="N30" s="96">
        <f>'ODAtafla 2006-2019'!N146</f>
        <v>77</v>
      </c>
      <c r="O30" s="96">
        <f>'ODAtafla 2006-2019'!O146</f>
        <v>131.73876100000001</v>
      </c>
    </row>
    <row r="31" spans="1:15" x14ac:dyDescent="0.25">
      <c r="A31" s="132" t="s">
        <v>121</v>
      </c>
      <c r="B31" s="96">
        <f>'ODAtafla 2006-2019'!B153</f>
        <v>254.4</v>
      </c>
      <c r="C31" s="96">
        <f>'ODAtafla 2006-2019'!C153</f>
        <v>13.9</v>
      </c>
      <c r="D31" s="96">
        <f>'ODAtafla 2006-2019'!D153</f>
        <v>42.8</v>
      </c>
      <c r="E31" s="96">
        <f>'ODAtafla 2006-2019'!E153</f>
        <v>25.6</v>
      </c>
      <c r="F31" s="96">
        <f>'ODAtafla 2006-2019'!F153</f>
        <v>26.2605</v>
      </c>
      <c r="G31" s="96">
        <f>'ODAtafla 2006-2019'!G153</f>
        <v>23.357198</v>
      </c>
      <c r="H31" s="96">
        <f>'ODAtafla 2006-2019'!H153</f>
        <v>36.728763999999998</v>
      </c>
      <c r="I31" s="96">
        <f>'ODAtafla 2006-2019'!I153</f>
        <v>37.226422999999997</v>
      </c>
      <c r="J31" s="96">
        <f>'ODAtafla 2006-2019'!J153</f>
        <v>51.156728000000001</v>
      </c>
      <c r="K31" s="96">
        <f>'ODAtafla 2006-2019'!K153</f>
        <v>38.546558000000005</v>
      </c>
      <c r="L31" s="96">
        <f>'ODAtafla 2006-2019'!L153</f>
        <v>85.8</v>
      </c>
      <c r="M31" s="96">
        <f>'ODAtafla 2006-2019'!M153</f>
        <v>156.69999999999999</v>
      </c>
      <c r="N31" s="96">
        <f>'ODAtafla 2006-2019'!N153</f>
        <v>162.6</v>
      </c>
      <c r="O31" s="96">
        <f>'ODAtafla 2006-2019'!O153</f>
        <v>156.37687199999999</v>
      </c>
    </row>
    <row r="32" spans="1:15" x14ac:dyDescent="0.25">
      <c r="A32" s="132" t="s">
        <v>127</v>
      </c>
      <c r="B32" s="96">
        <f>'ODAtafla 2006-2019'!B159</f>
        <v>22.7</v>
      </c>
      <c r="C32" s="96">
        <f>'ODAtafla 2006-2019'!C159</f>
        <v>14.700000000000001</v>
      </c>
      <c r="D32" s="96">
        <f>'ODAtafla 2006-2019'!D159</f>
        <v>22.1</v>
      </c>
      <c r="E32" s="96">
        <f>'ODAtafla 2006-2019'!E159</f>
        <v>10.6</v>
      </c>
      <c r="F32" s="96">
        <f>'ODAtafla 2006-2019'!F159</f>
        <v>11.5</v>
      </c>
      <c r="G32" s="96">
        <f>'ODAtafla 2006-2019'!G159</f>
        <v>11.932</v>
      </c>
      <c r="H32" s="96">
        <f>'ODAtafla 2006-2019'!H159</f>
        <v>11.4</v>
      </c>
      <c r="I32" s="96">
        <f>'ODAtafla 2006-2019'!I159</f>
        <v>17.600000000000001</v>
      </c>
      <c r="J32" s="96">
        <f>'ODAtafla 2006-2019'!J159</f>
        <v>11.122606809600001</v>
      </c>
      <c r="K32" s="96">
        <f>'ODAtafla 2006-2019'!K159</f>
        <v>12.236000000000001</v>
      </c>
      <c r="L32" s="96">
        <f>'ODAtafla 2006-2019'!L159</f>
        <v>12.8</v>
      </c>
      <c r="M32" s="96">
        <f>'ODAtafla 2006-2019'!M159</f>
        <v>12.8</v>
      </c>
      <c r="N32" s="96">
        <f>'ODAtafla 2006-2019'!N159</f>
        <v>0</v>
      </c>
      <c r="O32" s="96">
        <f>'ODAtafla 2006-2019'!O159</f>
        <v>0</v>
      </c>
    </row>
    <row r="33" spans="1:15" x14ac:dyDescent="0.25">
      <c r="A33" s="132" t="s">
        <v>131</v>
      </c>
      <c r="B33" s="96">
        <f>'ODAtafla 2006-2019'!B163</f>
        <v>2.2999999999999998</v>
      </c>
      <c r="C33" s="96">
        <f>'ODAtafla 2006-2019'!C163</f>
        <v>2</v>
      </c>
      <c r="D33" s="96">
        <f>'ODAtafla 2006-2019'!D163</f>
        <v>4</v>
      </c>
      <c r="E33" s="96">
        <f>'ODAtafla 2006-2019'!E163</f>
        <v>3.7</v>
      </c>
      <c r="F33" s="96">
        <f>'ODAtafla 2006-2019'!F163</f>
        <v>3.9137110000000002</v>
      </c>
      <c r="G33" s="96">
        <f>'ODAtafla 2006-2019'!G163</f>
        <v>10.713476</v>
      </c>
      <c r="H33" s="96">
        <f>'ODAtafla 2006-2019'!H163</f>
        <v>12.526668389999999</v>
      </c>
      <c r="I33" s="96">
        <f>'ODAtafla 2006-2019'!I163</f>
        <v>13.811776999999999</v>
      </c>
      <c r="J33" s="96">
        <f>'ODAtafla 2006-2019'!J163</f>
        <v>9.1617187100000006</v>
      </c>
      <c r="K33" s="96">
        <f>'ODAtafla 2006-2019'!K163</f>
        <v>12.156986</v>
      </c>
      <c r="L33" s="96">
        <f>'ODAtafla 2006-2019'!L163</f>
        <v>7.9</v>
      </c>
      <c r="M33" s="96">
        <f>'ODAtafla 2006-2019'!M163</f>
        <v>7.9</v>
      </c>
      <c r="N33" s="96">
        <f>'ODAtafla 2006-2019'!N163</f>
        <v>12.2</v>
      </c>
      <c r="O33" s="96">
        <f>'ODAtafla 2006-2019'!O163</f>
        <v>4.763325</v>
      </c>
    </row>
    <row r="34" spans="1:15" x14ac:dyDescent="0.25">
      <c r="A34" s="132" t="s">
        <v>142</v>
      </c>
      <c r="B34" s="96">
        <f>'ODAtafla 2006-2019'!B176</f>
        <v>80.17</v>
      </c>
      <c r="C34" s="96">
        <f>'ODAtafla 2006-2019'!C176</f>
        <v>18.52</v>
      </c>
      <c r="D34" s="96">
        <f>'ODAtafla 2006-2019'!D176</f>
        <v>7.35</v>
      </c>
      <c r="E34" s="96">
        <f>'ODAtafla 2006-2019'!E176</f>
        <v>4.68</v>
      </c>
      <c r="F34" s="96">
        <f>'ODAtafla 2006-2019'!F176</f>
        <v>11.1</v>
      </c>
      <c r="G34" s="96">
        <f>'ODAtafla 2006-2019'!G176</f>
        <v>15.742999999999999</v>
      </c>
      <c r="H34" s="96">
        <f>'ODAtafla 2006-2019'!H176</f>
        <v>18.73436835</v>
      </c>
      <c r="I34" s="96">
        <f>'ODAtafla 2006-2019'!I176</f>
        <v>24.401499999999999</v>
      </c>
      <c r="J34" s="96">
        <f>'ODAtafla 2006-2019'!J176</f>
        <v>25.327812299016387</v>
      </c>
      <c r="K34" s="96">
        <f>'ODAtafla 2006-2019'!K176</f>
        <v>26.241499999999998</v>
      </c>
      <c r="L34" s="96">
        <f>'ODAtafla 2006-2019'!L176</f>
        <v>30</v>
      </c>
      <c r="M34" s="96">
        <f>'ODAtafla 2006-2019'!M176</f>
        <v>30.7</v>
      </c>
      <c r="N34" s="96">
        <f>'ODAtafla 2006-2019'!N176</f>
        <v>77.900000000000006</v>
      </c>
      <c r="O34" s="96">
        <f>'ODAtafla 2006-2019'!O176</f>
        <v>88.296918000000005</v>
      </c>
    </row>
    <row r="35" spans="1:15" ht="15.75" thickBot="1" x14ac:dyDescent="0.3">
      <c r="A35" s="134" t="s">
        <v>143</v>
      </c>
      <c r="B35" s="85">
        <f>'ODAtafla 2006-2019'!B177</f>
        <v>629.76999999999987</v>
      </c>
      <c r="C35" s="85">
        <f>'ODAtafla 2006-2019'!C177</f>
        <v>372.82</v>
      </c>
      <c r="D35" s="85">
        <f>'ODAtafla 2006-2019'!D177</f>
        <v>476.47400000000005</v>
      </c>
      <c r="E35" s="85">
        <f>'ODAtafla 2006-2019'!E177</f>
        <v>641.28000000000009</v>
      </c>
      <c r="F35" s="85">
        <f>'ODAtafla 2006-2019'!F177</f>
        <v>571.63132099999996</v>
      </c>
      <c r="G35" s="85">
        <f>'ODAtafla 2006-2019'!G177</f>
        <v>542.66320199999996</v>
      </c>
      <c r="H35" s="85">
        <f>'ODAtafla 2006-2019'!H177</f>
        <v>569.6091474399999</v>
      </c>
      <c r="I35" s="85">
        <f>'ODAtafla 2006-2019'!I177</f>
        <v>743.12985139</v>
      </c>
      <c r="J35" s="85">
        <f>'ODAtafla 2006-2019'!J177</f>
        <v>668.52008727861642</v>
      </c>
      <c r="K35" s="85">
        <f>'ODAtafla 2006-2019'!K177</f>
        <v>791.97285613999998</v>
      </c>
      <c r="L35" s="85">
        <f>'ODAtafla 2006-2019'!L177</f>
        <v>1190.3</v>
      </c>
      <c r="M35" s="85">
        <f>'ODAtafla 2006-2019'!M177</f>
        <v>1043.1999999999998</v>
      </c>
      <c r="N35" s="85">
        <f>'ODAtafla 2006-2019'!N177</f>
        <v>1197.6000000000001</v>
      </c>
      <c r="O35" s="85">
        <f>'ODAtafla 2006-2019'!O177</f>
        <v>1463.554875</v>
      </c>
    </row>
    <row r="36" spans="1:15" x14ac:dyDescent="0.25">
      <c r="A36" s="126" t="s">
        <v>144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5" x14ac:dyDescent="0.25">
      <c r="A37" s="132" t="s">
        <v>142</v>
      </c>
      <c r="B37" s="96">
        <f>'ODAtafla 2006-2019'!B188</f>
        <v>267.60000000000002</v>
      </c>
      <c r="C37" s="96">
        <f>'ODAtafla 2006-2019'!C188</f>
        <v>234.29999999999998</v>
      </c>
      <c r="D37" s="96">
        <f>'ODAtafla 2006-2019'!D188</f>
        <v>242.7</v>
      </c>
      <c r="E37" s="96">
        <f>'ODAtafla 2006-2019'!E188</f>
        <v>275</v>
      </c>
      <c r="F37" s="96">
        <f>'ODAtafla 2006-2019'!F188</f>
        <v>249.6</v>
      </c>
      <c r="G37" s="96">
        <f>'ODAtafla 2006-2019'!G188</f>
        <v>253.22</v>
      </c>
      <c r="H37" s="96">
        <f>'ODAtafla 2006-2019'!H188</f>
        <v>230.26192900000001</v>
      </c>
      <c r="I37" s="96">
        <f>'ODAtafla 2006-2019'!I188</f>
        <v>236.22526800000003</v>
      </c>
      <c r="J37" s="96">
        <f>'ODAtafla 2006-2019'!J188</f>
        <v>344.934077</v>
      </c>
      <c r="K37" s="96">
        <f>'ODAtafla 2006-2019'!K188</f>
        <v>680.67062800000008</v>
      </c>
      <c r="L37" s="96">
        <f>'ODAtafla 2006-2019'!L188</f>
        <v>665.2</v>
      </c>
      <c r="M37" s="96">
        <f>'ODAtafla 2006-2019'!M188</f>
        <v>658.1</v>
      </c>
      <c r="N37" s="96">
        <f>'ODAtafla 2006-2019'!N188</f>
        <v>760.8</v>
      </c>
      <c r="O37" s="96">
        <f>'ODAtafla 2006-2019'!O188</f>
        <v>534.188896</v>
      </c>
    </row>
    <row r="38" spans="1:15" x14ac:dyDescent="0.25">
      <c r="A38" s="132" t="s">
        <v>157</v>
      </c>
      <c r="B38" s="96">
        <f>'ODAtafla 2006-2019'!B197</f>
        <v>45.1</v>
      </c>
      <c r="C38" s="96">
        <f>'ODAtafla 2006-2019'!C197</f>
        <v>34.6</v>
      </c>
      <c r="D38" s="96">
        <f>'ODAtafla 2006-2019'!D197</f>
        <v>79.7</v>
      </c>
      <c r="E38" s="96">
        <f>'ODAtafla 2006-2019'!E197</f>
        <v>154.80000000000001</v>
      </c>
      <c r="F38" s="96">
        <f>'ODAtafla 2006-2019'!F197</f>
        <v>166.12831800000001</v>
      </c>
      <c r="G38" s="96">
        <f>'ODAtafla 2006-2019'!G197</f>
        <v>37.955432000000002</v>
      </c>
      <c r="H38" s="96">
        <f>'ODAtafla 2006-2019'!H197</f>
        <v>89.178762000000006</v>
      </c>
      <c r="I38" s="96">
        <f>'ODAtafla 2006-2019'!I197</f>
        <v>60.631272999999993</v>
      </c>
      <c r="J38" s="96">
        <f>'ODAtafla 2006-2019'!J197</f>
        <v>90.553519000000009</v>
      </c>
      <c r="K38" s="96">
        <f>'ODAtafla 2006-2019'!K197</f>
        <v>91.319000000000003</v>
      </c>
      <c r="L38" s="96">
        <f>'ODAtafla 2006-2019'!L197</f>
        <v>92</v>
      </c>
      <c r="M38" s="96">
        <f>'ODAtafla 2006-2019'!M197</f>
        <v>73.599999999999994</v>
      </c>
      <c r="N38" s="96">
        <f>'ODAtafla 2006-2019'!N197</f>
        <v>180</v>
      </c>
      <c r="O38" s="96">
        <f>'ODAtafla 2006-2019'!O197</f>
        <v>163.13216499999999</v>
      </c>
    </row>
    <row r="39" spans="1:15" x14ac:dyDescent="0.25">
      <c r="A39" s="132" t="s">
        <v>163</v>
      </c>
      <c r="B39" s="96">
        <f>'ODAtafla 2006-2019'!B203</f>
        <v>24.799999999999997</v>
      </c>
      <c r="C39" s="96">
        <f>'ODAtafla 2006-2019'!C203</f>
        <v>10</v>
      </c>
      <c r="D39" s="96">
        <f>'ODAtafla 2006-2019'!D203</f>
        <v>13</v>
      </c>
      <c r="E39" s="96">
        <f>'ODAtafla 2006-2019'!E203</f>
        <v>31</v>
      </c>
      <c r="F39" s="96">
        <f>'ODAtafla 2006-2019'!F203</f>
        <v>5.7201500000000003</v>
      </c>
      <c r="G39" s="96">
        <f>'ODAtafla 2006-2019'!G203</f>
        <v>0</v>
      </c>
      <c r="H39" s="96">
        <f>'ODAtafla 2006-2019'!H203</f>
        <v>29.206099999999999</v>
      </c>
      <c r="I39" s="96">
        <f>'ODAtafla 2006-2019'!I203</f>
        <v>80.932699999999997</v>
      </c>
      <c r="J39" s="96">
        <f>'ODAtafla 2006-2019'!J203</f>
        <v>51.398569999999999</v>
      </c>
      <c r="K39" s="96">
        <f>'ODAtafla 2006-2019'!K203</f>
        <v>6.4889999999999999</v>
      </c>
      <c r="L39" s="96">
        <f>'ODAtafla 2006-2019'!L203</f>
        <v>22.7</v>
      </c>
      <c r="M39" s="96">
        <f>'ODAtafla 2006-2019'!M203</f>
        <v>50</v>
      </c>
      <c r="N39" s="96">
        <f>'ODAtafla 2006-2019'!N203</f>
        <v>81.399999999999991</v>
      </c>
      <c r="O39" s="96">
        <f>'ODAtafla 2006-2019'!O203</f>
        <v>130.06704999999999</v>
      </c>
    </row>
    <row r="40" spans="1:15" ht="15.75" thickBot="1" x14ac:dyDescent="0.3">
      <c r="A40" s="134" t="s">
        <v>164</v>
      </c>
      <c r="B40" s="85">
        <f>'ODAtafla 2006-2019'!B204</f>
        <v>337.50000000000006</v>
      </c>
      <c r="C40" s="85">
        <f>'ODAtafla 2006-2019'!C204</f>
        <v>278.89999999999998</v>
      </c>
      <c r="D40" s="85">
        <f>'ODAtafla 2006-2019'!D204</f>
        <v>335.4</v>
      </c>
      <c r="E40" s="85">
        <f>'ODAtafla 2006-2019'!E204</f>
        <v>460.8</v>
      </c>
      <c r="F40" s="85">
        <f>'ODAtafla 2006-2019'!F204</f>
        <v>421.44846799999999</v>
      </c>
      <c r="G40" s="85">
        <f>'ODAtafla 2006-2019'!G204</f>
        <v>291.175432</v>
      </c>
      <c r="H40" s="85">
        <f>'ODAtafla 2006-2019'!H204</f>
        <v>348.64679100000001</v>
      </c>
      <c r="I40" s="85">
        <f>'ODAtafla 2006-2019'!I204</f>
        <v>377.789241</v>
      </c>
      <c r="J40" s="85">
        <f>'ODAtafla 2006-2019'!J204</f>
        <v>486.886166</v>
      </c>
      <c r="K40" s="85">
        <f>'ODAtafla 2006-2019'!K204</f>
        <v>778.47862800000007</v>
      </c>
      <c r="L40" s="85">
        <f>'ODAtafla 2006-2019'!L204</f>
        <v>779.90000000000009</v>
      </c>
      <c r="M40" s="85">
        <f>'ODAtafla 2006-2019'!M204</f>
        <v>781.7</v>
      </c>
      <c r="N40" s="85">
        <f>'ODAtafla 2006-2019'!N204</f>
        <v>1022.1999999999999</v>
      </c>
      <c r="O40" s="85">
        <f>'ODAtafla 2006-2019'!O204</f>
        <v>827.38811099999998</v>
      </c>
    </row>
    <row r="41" spans="1:15" x14ac:dyDescent="0.25">
      <c r="A41" s="126" t="s">
        <v>165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</row>
    <row r="42" spans="1:15" x14ac:dyDescent="0.25">
      <c r="A42" s="132" t="s">
        <v>142</v>
      </c>
      <c r="B42" s="96">
        <f>'ODAtafla 2006-2019'!B220</f>
        <v>42.4</v>
      </c>
      <c r="C42" s="96">
        <f>'ODAtafla 2006-2019'!C220</f>
        <v>61.9</v>
      </c>
      <c r="D42" s="96">
        <f>'ODAtafla 2006-2019'!D220</f>
        <v>71.2</v>
      </c>
      <c r="E42" s="96">
        <f>'ODAtafla 2006-2019'!E220</f>
        <v>199.10000000000002</v>
      </c>
      <c r="F42" s="96">
        <f>'ODAtafla 2006-2019'!F220</f>
        <v>51.659700000000001</v>
      </c>
      <c r="G42" s="96">
        <f>'ODAtafla 2006-2019'!G220</f>
        <v>96.087119000000001</v>
      </c>
      <c r="H42" s="96">
        <f>'ODAtafla 2006-2019'!H220</f>
        <v>54.148981999999997</v>
      </c>
      <c r="I42" s="96">
        <f>'ODAtafla 2006-2019'!I220</f>
        <v>115.93571800000001</v>
      </c>
      <c r="J42" s="96">
        <f>'ODAtafla 2006-2019'!J220</f>
        <v>110.28594140000001</v>
      </c>
      <c r="K42" s="96">
        <f>'ODAtafla 2006-2019'!K220</f>
        <v>107.61131800000001</v>
      </c>
      <c r="L42" s="96">
        <f>'ODAtafla 2006-2019'!L220</f>
        <v>184.1</v>
      </c>
      <c r="M42" s="96">
        <f>'ODAtafla 2006-2019'!M220</f>
        <v>119.048755</v>
      </c>
      <c r="N42" s="96">
        <f>'ODAtafla 2006-2019'!N220</f>
        <v>130</v>
      </c>
      <c r="O42" s="96">
        <f>'ODAtafla 2006-2019'!O220</f>
        <v>151.25126599999999</v>
      </c>
    </row>
    <row r="43" spans="1:15" x14ac:dyDescent="0.25">
      <c r="A43" s="132" t="s">
        <v>163</v>
      </c>
      <c r="B43" s="96">
        <f>'ODAtafla 2006-2019'!B228</f>
        <v>22.1</v>
      </c>
      <c r="C43" s="96">
        <f>'ODAtafla 2006-2019'!C228</f>
        <v>55.900000000000006</v>
      </c>
      <c r="D43" s="96">
        <f>'ODAtafla 2006-2019'!D228</f>
        <v>69</v>
      </c>
      <c r="E43" s="96">
        <f>'ODAtafla 2006-2019'!E228</f>
        <v>28.7</v>
      </c>
      <c r="F43" s="96">
        <f>'ODAtafla 2006-2019'!F228</f>
        <v>18.563693000000001</v>
      </c>
      <c r="G43" s="96">
        <f>'ODAtafla 2006-2019'!G228</f>
        <v>11.283107999999999</v>
      </c>
      <c r="H43" s="96">
        <f>'ODAtafla 2006-2019'!H228</f>
        <v>3.1419999999999999</v>
      </c>
      <c r="I43" s="96">
        <f>'ODAtafla 2006-2019'!I228</f>
        <v>7.6892000000000005</v>
      </c>
      <c r="J43" s="96">
        <f>'ODAtafla 2006-2019'!J228</f>
        <v>0</v>
      </c>
      <c r="K43" s="96">
        <f>'ODAtafla 2006-2019'!K228</f>
        <v>7.0845000000000002</v>
      </c>
      <c r="L43" s="96">
        <f>'ODAtafla 2006-2019'!L228</f>
        <v>0</v>
      </c>
      <c r="M43" s="96">
        <f>'ODAtafla 2006-2019'!M228</f>
        <v>0</v>
      </c>
      <c r="N43" s="96">
        <f>'ODAtafla 2006-2019'!N228</f>
        <v>2</v>
      </c>
      <c r="O43" s="96">
        <f>'ODAtafla 2006-2019'!O228</f>
        <v>5.1402950000000001</v>
      </c>
    </row>
    <row r="44" spans="1:15" x14ac:dyDescent="0.25">
      <c r="A44" s="132" t="s">
        <v>188</v>
      </c>
      <c r="B44" s="96">
        <f>'ODAtafla 2006-2019'!B233</f>
        <v>0</v>
      </c>
      <c r="C44" s="96">
        <f>'ODAtafla 2006-2019'!C233</f>
        <v>0</v>
      </c>
      <c r="D44" s="96">
        <f>'ODAtafla 2006-2019'!D233</f>
        <v>0</v>
      </c>
      <c r="E44" s="96">
        <f>'ODAtafla 2006-2019'!E233</f>
        <v>0</v>
      </c>
      <c r="F44" s="96">
        <f>'ODAtafla 2006-2019'!F233</f>
        <v>0</v>
      </c>
      <c r="G44" s="96">
        <f>'ODAtafla 2006-2019'!G233</f>
        <v>0</v>
      </c>
      <c r="H44" s="96">
        <f>'ODAtafla 2006-2019'!H233</f>
        <v>23.93195446</v>
      </c>
      <c r="I44" s="96">
        <f>'ODAtafla 2006-2019'!I233</f>
        <v>24.702316</v>
      </c>
      <c r="J44" s="96">
        <f>'ODAtafla 2006-2019'!J233</f>
        <v>44.111818679999999</v>
      </c>
      <c r="K44" s="96">
        <f>'ODAtafla 2006-2019'!K233</f>
        <v>39.446539000000001</v>
      </c>
      <c r="L44" s="96">
        <f>'ODAtafla 2006-2019'!L233</f>
        <v>23.1</v>
      </c>
      <c r="M44" s="96">
        <f>'ODAtafla 2006-2019'!M233</f>
        <v>34.9</v>
      </c>
      <c r="N44" s="96">
        <f>'ODAtafla 2006-2019'!N233</f>
        <v>25</v>
      </c>
      <c r="O44" s="96">
        <f>'ODAtafla 2006-2019'!O233</f>
        <v>23.316690000000001</v>
      </c>
    </row>
    <row r="45" spans="1:15" x14ac:dyDescent="0.25">
      <c r="A45" s="132" t="s">
        <v>199</v>
      </c>
      <c r="B45" s="96">
        <f>'ODAtafla 2006-2019'!B245</f>
        <v>0</v>
      </c>
      <c r="C45" s="96">
        <f>'ODAtafla 2006-2019'!C245</f>
        <v>0</v>
      </c>
      <c r="D45" s="96">
        <f>'ODAtafla 2006-2019'!D245</f>
        <v>0</v>
      </c>
      <c r="E45" s="96">
        <f>'ODAtafla 2006-2019'!E245</f>
        <v>0</v>
      </c>
      <c r="F45" s="96">
        <f>'ODAtafla 2006-2019'!F245</f>
        <v>0</v>
      </c>
      <c r="G45" s="96">
        <f>'ODAtafla 2006-2019'!G245</f>
        <v>44.700654</v>
      </c>
      <c r="H45" s="96">
        <f>'ODAtafla 2006-2019'!H245</f>
        <v>65.742336999999992</v>
      </c>
      <c r="I45" s="96">
        <f>'ODAtafla 2006-2019'!I245</f>
        <v>41.137900000000002</v>
      </c>
      <c r="J45" s="96">
        <f>'ODAtafla 2006-2019'!J245</f>
        <v>45.945149999999998</v>
      </c>
      <c r="K45" s="96">
        <f>'ODAtafla 2006-2019'!K245</f>
        <v>52.345399999999998</v>
      </c>
      <c r="L45" s="96">
        <f>'ODAtafla 2006-2019'!L245</f>
        <v>34.299999999999997</v>
      </c>
      <c r="M45" s="96">
        <f>'ODAtafla 2006-2019'!M245</f>
        <v>29.497500000000002</v>
      </c>
      <c r="N45" s="96">
        <f>'ODAtafla 2006-2019'!N245</f>
        <v>41.2</v>
      </c>
      <c r="O45" s="96">
        <f>'ODAtafla 2006-2019'!O245</f>
        <v>48.589618999999999</v>
      </c>
    </row>
    <row r="46" spans="1:15" ht="15.75" thickBot="1" x14ac:dyDescent="0.3">
      <c r="A46" s="134" t="s">
        <v>200</v>
      </c>
      <c r="B46" s="85">
        <f>'ODAtafla 2006-2019'!B246</f>
        <v>64.5</v>
      </c>
      <c r="C46" s="85">
        <f>'ODAtafla 2006-2019'!C246</f>
        <v>117.80000000000001</v>
      </c>
      <c r="D46" s="85">
        <f>'ODAtafla 2006-2019'!D246</f>
        <v>140.19999999999999</v>
      </c>
      <c r="E46" s="85">
        <f>'ODAtafla 2006-2019'!E246</f>
        <v>227.8</v>
      </c>
      <c r="F46" s="85">
        <f>'ODAtafla 2006-2019'!F246</f>
        <v>70.223393000000002</v>
      </c>
      <c r="G46" s="85">
        <f>'ODAtafla 2006-2019'!G246</f>
        <v>152.07088099999999</v>
      </c>
      <c r="H46" s="85">
        <f>'ODAtafla 2006-2019'!H246</f>
        <v>146.96527345999999</v>
      </c>
      <c r="I46" s="85">
        <f>'ODAtafla 2006-2019'!I246</f>
        <v>189.46513400000001</v>
      </c>
      <c r="J46" s="85">
        <f>'ODAtafla 2006-2019'!J246</f>
        <v>200.34291008000002</v>
      </c>
      <c r="K46" s="85">
        <f>'ODAtafla 2006-2019'!K246</f>
        <v>206.48775699999999</v>
      </c>
      <c r="L46" s="85">
        <f>'ODAtafla 2006-2019'!L246</f>
        <v>241.5</v>
      </c>
      <c r="M46" s="85">
        <f>'ODAtafla 2006-2019'!M246</f>
        <v>183.44625500000001</v>
      </c>
      <c r="N46" s="85">
        <f>'ODAtafla 2006-2019'!N246</f>
        <v>198.2</v>
      </c>
      <c r="O46" s="85">
        <f>'ODAtafla 2006-2019'!O246</f>
        <v>228.29786999999999</v>
      </c>
    </row>
    <row r="47" spans="1:15" ht="15.75" thickBot="1" x14ac:dyDescent="0.3">
      <c r="A47" s="137" t="s">
        <v>201</v>
      </c>
      <c r="B47" s="86">
        <f>'ODAtafla 2006-2019'!B247</f>
        <v>1031.77</v>
      </c>
      <c r="C47" s="86">
        <f>'ODAtafla 2006-2019'!C247</f>
        <v>769.52</v>
      </c>
      <c r="D47" s="86">
        <f>'ODAtafla 2006-2019'!D247</f>
        <v>952.07400000000007</v>
      </c>
      <c r="E47" s="86">
        <f>'ODAtafla 2006-2019'!E247</f>
        <v>1329.88</v>
      </c>
      <c r="F47" s="86">
        <f>'ODAtafla 2006-2019'!F247</f>
        <v>1063.3031819999999</v>
      </c>
      <c r="G47" s="86">
        <f>'ODAtafla 2006-2019'!G247</f>
        <v>985.90951499999994</v>
      </c>
      <c r="H47" s="86">
        <f>'ODAtafla 2006-2019'!H247</f>
        <v>1065.2212118999998</v>
      </c>
      <c r="I47" s="86">
        <f>'ODAtafla 2006-2019'!I247</f>
        <v>1310.3842263900001</v>
      </c>
      <c r="J47" s="86">
        <f>'ODAtafla 2006-2019'!J247</f>
        <v>1355.7491633586164</v>
      </c>
      <c r="K47" s="86">
        <f>'ODAtafla 2006-2019'!K247</f>
        <v>1776.9392411399999</v>
      </c>
      <c r="L47" s="86">
        <f>'ODAtafla 2006-2019'!L247</f>
        <v>2211.6999999999998</v>
      </c>
      <c r="M47" s="86">
        <f>'ODAtafla 2006-2019'!M247</f>
        <v>2008.3462549999999</v>
      </c>
      <c r="N47" s="86">
        <f>'ODAtafla 2006-2019'!N247</f>
        <v>2418</v>
      </c>
      <c r="O47" s="86">
        <f>'ODAtafla 2006-2019'!O247</f>
        <v>2519.2408559999999</v>
      </c>
    </row>
    <row r="48" spans="1:15" ht="15.75" thickBot="1" x14ac:dyDescent="0.3">
      <c r="A48" s="138"/>
    </row>
    <row r="49" spans="1:15" ht="15.75" thickBot="1" x14ac:dyDescent="0.3">
      <c r="A49" s="125" t="s">
        <v>11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8"/>
      <c r="N49" s="88"/>
      <c r="O49" s="88"/>
    </row>
    <row r="50" spans="1:15" ht="15.75" thickBot="1" x14ac:dyDescent="0.3">
      <c r="A50" s="139"/>
      <c r="B50" s="78">
        <v>2006</v>
      </c>
      <c r="C50" s="77">
        <v>2007</v>
      </c>
      <c r="D50" s="78">
        <v>2008</v>
      </c>
      <c r="E50" s="77">
        <v>2009</v>
      </c>
      <c r="F50" s="78">
        <v>2010</v>
      </c>
      <c r="G50" s="77">
        <v>2011</v>
      </c>
      <c r="H50" s="78">
        <v>2012</v>
      </c>
      <c r="I50" s="77">
        <v>2013</v>
      </c>
      <c r="J50" s="78">
        <v>2014</v>
      </c>
      <c r="K50" s="77">
        <v>2015</v>
      </c>
      <c r="L50" s="78">
        <v>2016</v>
      </c>
      <c r="M50" s="77">
        <v>2017</v>
      </c>
      <c r="N50" s="77">
        <v>2018</v>
      </c>
      <c r="O50" s="77">
        <v>2019</v>
      </c>
    </row>
    <row r="51" spans="1:15" x14ac:dyDescent="0.25">
      <c r="A51" s="134" t="s">
        <v>210</v>
      </c>
      <c r="B51" s="85">
        <f>'ODAtafla 2006-2019'!B261</f>
        <v>201.2</v>
      </c>
      <c r="C51" s="85">
        <f>'ODAtafla 2006-2019'!C261</f>
        <v>295.7</v>
      </c>
      <c r="D51" s="85">
        <f>'ODAtafla 2006-2019'!D261</f>
        <v>418.3</v>
      </c>
      <c r="E51" s="85">
        <f>'ODAtafla 2006-2019'!E261</f>
        <v>460.59999999999997</v>
      </c>
      <c r="F51" s="85">
        <f>'ODAtafla 2006-2019'!F261</f>
        <v>424.77000000000004</v>
      </c>
      <c r="G51" s="85">
        <f>'ODAtafla 2006-2019'!G261</f>
        <v>434.669014</v>
      </c>
      <c r="H51" s="85">
        <f>'ODAtafla 2006-2019'!H261</f>
        <v>514.30972200000008</v>
      </c>
      <c r="I51" s="85">
        <f>'ODAtafla 2006-2019'!I261</f>
        <v>598.92304799999999</v>
      </c>
      <c r="J51" s="85">
        <f>'ODAtafla 2006-2019'!J261</f>
        <v>548.63563599999998</v>
      </c>
      <c r="K51" s="85">
        <f>'ODAtafla 2006-2019'!K261</f>
        <v>542.10857999999996</v>
      </c>
      <c r="L51" s="85">
        <f>'ODAtafla 2006-2019'!L261</f>
        <v>572</v>
      </c>
      <c r="M51" s="85">
        <f>'ODAtafla 2006-2019'!M261</f>
        <v>702</v>
      </c>
      <c r="N51" s="85">
        <f>'ODAtafla 2006-2019'!N261</f>
        <v>724.11199999999997</v>
      </c>
      <c r="O51" s="85">
        <f>'ODAtafla 2006-2019'!O261</f>
        <v>755.66255699999988</v>
      </c>
    </row>
    <row r="52" spans="1:15" x14ac:dyDescent="0.25">
      <c r="A52" s="134" t="s">
        <v>163</v>
      </c>
      <c r="B52" s="85">
        <f>'ODAtafla 2006-2019'!B265</f>
        <v>0</v>
      </c>
      <c r="C52" s="85">
        <f>'ODAtafla 2006-2019'!C265</f>
        <v>10.9</v>
      </c>
      <c r="D52" s="85">
        <f>'ODAtafla 2006-2019'!D265</f>
        <v>17.8</v>
      </c>
      <c r="E52" s="85">
        <f>'ODAtafla 2006-2019'!E265</f>
        <v>0</v>
      </c>
      <c r="F52" s="85">
        <f>'ODAtafla 2006-2019'!F265</f>
        <v>0</v>
      </c>
      <c r="G52" s="85">
        <f>'ODAtafla 2006-2019'!G265</f>
        <v>0</v>
      </c>
      <c r="H52" s="85">
        <f>'ODAtafla 2006-2019'!H265</f>
        <v>0</v>
      </c>
      <c r="I52" s="85">
        <f>'ODAtafla 2006-2019'!I265</f>
        <v>0</v>
      </c>
      <c r="J52" s="85">
        <f>'ODAtafla 2006-2019'!J265</f>
        <v>0</v>
      </c>
      <c r="K52" s="85">
        <f>'ODAtafla 2006-2019'!K265</f>
        <v>0</v>
      </c>
      <c r="L52" s="85">
        <f>'ODAtafla 2006-2019'!L265</f>
        <v>0</v>
      </c>
      <c r="M52" s="85">
        <f>'ODAtafla 2006-2019'!M265</f>
        <v>0</v>
      </c>
      <c r="N52" s="85">
        <f>'ODAtafla 2006-2019'!N265</f>
        <v>0</v>
      </c>
      <c r="O52" s="85">
        <f>'ODAtafla 2006-2019'!O265</f>
        <v>0</v>
      </c>
    </row>
    <row r="53" spans="1:15" x14ac:dyDescent="0.25">
      <c r="A53" s="134" t="s">
        <v>214</v>
      </c>
      <c r="B53" s="85">
        <f>'ODAtafla 2006-2019'!B269</f>
        <v>0</v>
      </c>
      <c r="C53" s="85">
        <f>'ODAtafla 2006-2019'!C269</f>
        <v>57</v>
      </c>
      <c r="D53" s="85">
        <f>'ODAtafla 2006-2019'!D269</f>
        <v>57.5</v>
      </c>
      <c r="E53" s="85">
        <f>'ODAtafla 2006-2019'!E269</f>
        <v>130.30000000000001</v>
      </c>
      <c r="F53" s="85">
        <f>'ODAtafla 2006-2019'!F269</f>
        <v>0</v>
      </c>
      <c r="G53" s="85">
        <f>'ODAtafla 2006-2019'!G269</f>
        <v>20</v>
      </c>
      <c r="H53" s="85">
        <f>'ODAtafla 2006-2019'!H269</f>
        <v>25</v>
      </c>
      <c r="I53" s="85">
        <f>'ODAtafla 2006-2019'!I269</f>
        <v>38</v>
      </c>
      <c r="J53" s="85">
        <f>'ODAtafla 2006-2019'!J269</f>
        <v>403.20052600000002</v>
      </c>
      <c r="K53" s="85">
        <f>'ODAtafla 2006-2019'!K269</f>
        <v>623.20000000000005</v>
      </c>
      <c r="L53" s="85">
        <f>'ODAtafla 2006-2019'!L269</f>
        <v>1895.6000000000001</v>
      </c>
      <c r="M53" s="85">
        <f>'ODAtafla 2006-2019'!M269</f>
        <v>2366.992084</v>
      </c>
      <c r="N53" s="85">
        <f>'ODAtafla 2006-2019'!N269</f>
        <v>1212.4857649999999</v>
      </c>
      <c r="O53" s="85">
        <f>'ODAtafla 2006-2019'!O269</f>
        <v>972.45036600000003</v>
      </c>
    </row>
    <row r="54" spans="1:15" x14ac:dyDescent="0.25">
      <c r="A54" s="134" t="s">
        <v>218</v>
      </c>
      <c r="B54" s="85">
        <f>'ODAtafla 2006-2019'!B273</f>
        <v>0</v>
      </c>
      <c r="C54" s="85">
        <f>'ODAtafla 2006-2019'!C273</f>
        <v>9.6</v>
      </c>
      <c r="D54" s="85">
        <f>'ODAtafla 2006-2019'!D273</f>
        <v>25</v>
      </c>
      <c r="E54" s="85">
        <f>'ODAtafla 2006-2019'!E273</f>
        <v>12.1</v>
      </c>
      <c r="F54" s="85">
        <f>'ODAtafla 2006-2019'!F273</f>
        <v>20.9633</v>
      </c>
      <c r="G54" s="85">
        <f>'ODAtafla 2006-2019'!G273</f>
        <v>8.2264730000000004</v>
      </c>
      <c r="H54" s="85">
        <f>'ODAtafla 2006-2019'!H273</f>
        <v>13.698233</v>
      </c>
      <c r="I54" s="85">
        <f>'ODAtafla 2006-2019'!I273</f>
        <v>17.404769000000002</v>
      </c>
      <c r="J54" s="85">
        <f>'ODAtafla 2006-2019'!J273</f>
        <v>17.440697</v>
      </c>
      <c r="K54" s="85">
        <f>'ODAtafla 2006-2019'!K273</f>
        <v>22.81</v>
      </c>
      <c r="L54" s="85">
        <f>'ODAtafla 2006-2019'!L273</f>
        <v>5.7</v>
      </c>
      <c r="M54" s="85">
        <f>'ODAtafla 2006-2019'!M273</f>
        <v>13.2</v>
      </c>
      <c r="N54" s="85">
        <f>'ODAtafla 2006-2019'!N273</f>
        <v>21.1</v>
      </c>
      <c r="O54" s="85">
        <f>'ODAtafla 2006-2019'!O273</f>
        <v>23.729399999999998</v>
      </c>
    </row>
    <row r="55" spans="1:15" x14ac:dyDescent="0.25">
      <c r="A55" s="134" t="s">
        <v>222</v>
      </c>
      <c r="B55" s="85">
        <f>'ODAtafla 2006-2019'!B277</f>
        <v>13.3</v>
      </c>
      <c r="C55" s="85">
        <f>'ODAtafla 2006-2019'!C277</f>
        <v>26.9</v>
      </c>
      <c r="D55" s="85">
        <f>'ODAtafla 2006-2019'!D277</f>
        <v>24.1</v>
      </c>
      <c r="E55" s="85">
        <f>'ODAtafla 2006-2019'!E277</f>
        <v>22.3</v>
      </c>
      <c r="F55" s="85">
        <f>'ODAtafla 2006-2019'!F277</f>
        <v>7.8493000000000004</v>
      </c>
      <c r="G55" s="85">
        <f>'ODAtafla 2006-2019'!G277</f>
        <v>6.4769480000000001</v>
      </c>
      <c r="H55" s="85">
        <f>'ODAtafla 2006-2019'!H277</f>
        <v>6.4124999999999996</v>
      </c>
      <c r="I55" s="85">
        <f>'ODAtafla 2006-2019'!I277</f>
        <v>0</v>
      </c>
      <c r="J55" s="85">
        <f>'ODAtafla 2006-2019'!J277</f>
        <v>0</v>
      </c>
      <c r="K55" s="85">
        <f>'ODAtafla 2006-2019'!K277</f>
        <v>0</v>
      </c>
      <c r="L55" s="85">
        <f>'ODAtafla 2006-2019'!L277</f>
        <v>24.4</v>
      </c>
      <c r="M55" s="85">
        <f>'ODAtafla 2006-2019'!M277</f>
        <v>120.8</v>
      </c>
      <c r="N55" s="85">
        <f>'ODAtafla 2006-2019'!N277</f>
        <v>0</v>
      </c>
      <c r="O55" s="85">
        <f>'ODAtafla 2006-2019'!O277</f>
        <v>0</v>
      </c>
    </row>
    <row r="56" spans="1:15" x14ac:dyDescent="0.25">
      <c r="A56" s="134" t="s">
        <v>226</v>
      </c>
      <c r="B56" s="85">
        <f>'ODAtafla 2006-2019'!B281</f>
        <v>0</v>
      </c>
      <c r="C56" s="85">
        <f>'ODAtafla 2006-2019'!C281</f>
        <v>0</v>
      </c>
      <c r="D56" s="85">
        <f>'ODAtafla 2006-2019'!D281</f>
        <v>0</v>
      </c>
      <c r="E56" s="85">
        <f>'ODAtafla 2006-2019'!E281</f>
        <v>0</v>
      </c>
      <c r="F56" s="85">
        <f>'ODAtafla 2006-2019'!F281</f>
        <v>13.1219</v>
      </c>
      <c r="G56" s="85">
        <f>'ODAtafla 2006-2019'!G281</f>
        <v>6.2072000000000003</v>
      </c>
      <c r="H56" s="85">
        <f>'ODAtafla 2006-2019'!H281</f>
        <v>0</v>
      </c>
      <c r="I56" s="85">
        <f>'ODAtafla 2006-2019'!I281</f>
        <v>0</v>
      </c>
      <c r="J56" s="85">
        <f>'ODAtafla 2006-2019'!J281</f>
        <v>10.802973</v>
      </c>
      <c r="K56" s="85">
        <f>'ODAtafla 2006-2019'!K281</f>
        <v>0</v>
      </c>
      <c r="L56" s="85">
        <f>'ODAtafla 2006-2019'!L281</f>
        <v>0</v>
      </c>
      <c r="M56" s="85">
        <f>'ODAtafla 2006-2019'!M281</f>
        <v>0</v>
      </c>
      <c r="N56" s="85">
        <f>'ODAtafla 2006-2019'!N281</f>
        <v>0</v>
      </c>
      <c r="O56" s="85">
        <f>'ODAtafla 2006-2019'!O281</f>
        <v>0</v>
      </c>
    </row>
    <row r="57" spans="1:15" ht="15.75" thickBot="1" x14ac:dyDescent="0.3">
      <c r="A57" s="134" t="s">
        <v>235</v>
      </c>
      <c r="B57" s="85">
        <f ca="1">'ODAtafla 2006-2019'!B290</f>
        <v>42</v>
      </c>
      <c r="C57" s="85">
        <f ca="1">'ODAtafla 2006-2019'!C290</f>
        <v>47.4</v>
      </c>
      <c r="D57" s="85">
        <f ca="1">'ODAtafla 2006-2019'!D290</f>
        <v>117.7</v>
      </c>
      <c r="E57" s="85">
        <f ca="1">'ODAtafla 2006-2019'!E290</f>
        <v>93.4</v>
      </c>
      <c r="F57" s="85">
        <f ca="1">'ODAtafla 2006-2019'!F290</f>
        <v>51.872152</v>
      </c>
      <c r="G57" s="85">
        <f>'ODAtafla 2006-2019'!G290</f>
        <v>4.25</v>
      </c>
      <c r="H57" s="85">
        <f>'ODAtafla 2006-2019'!H290</f>
        <v>3.6</v>
      </c>
      <c r="I57" s="85">
        <f>'ODAtafla 2006-2019'!I290</f>
        <v>18.127372000000001</v>
      </c>
      <c r="J57" s="85">
        <f>'ODAtafla 2006-2019'!J290</f>
        <v>9.9923920000000006</v>
      </c>
      <c r="K57" s="85">
        <f>'ODAtafla 2006-2019'!K290</f>
        <v>11.314358</v>
      </c>
      <c r="L57" s="85">
        <f>'ODAtafla 2006-2019'!L290</f>
        <v>13</v>
      </c>
      <c r="M57" s="85">
        <f>'ODAtafla 2006-2019'!M290</f>
        <v>8</v>
      </c>
      <c r="N57" s="85">
        <f>'ODAtafla 2006-2019'!N290</f>
        <v>61.8</v>
      </c>
      <c r="O57" s="85">
        <f>'ODAtafla 2006-2019'!O290</f>
        <v>59.324834000000003</v>
      </c>
    </row>
    <row r="58" spans="1:15" ht="15.75" thickBot="1" x14ac:dyDescent="0.3">
      <c r="A58" s="126" t="s">
        <v>236</v>
      </c>
      <c r="B58" s="78">
        <v>2006</v>
      </c>
      <c r="C58" s="77">
        <v>2007</v>
      </c>
      <c r="D58" s="78">
        <v>2008</v>
      </c>
      <c r="E58" s="77">
        <v>2009</v>
      </c>
      <c r="F58" s="78">
        <v>2010</v>
      </c>
      <c r="G58" s="77">
        <v>2011</v>
      </c>
      <c r="H58" s="78">
        <v>2012</v>
      </c>
      <c r="I58" s="77">
        <v>2013</v>
      </c>
      <c r="J58" s="78">
        <v>2014</v>
      </c>
      <c r="K58" s="77">
        <v>2015</v>
      </c>
      <c r="L58" s="78">
        <v>2016</v>
      </c>
      <c r="M58" s="77">
        <v>2017</v>
      </c>
      <c r="N58" s="77">
        <v>2018</v>
      </c>
      <c r="O58" s="77">
        <v>2019</v>
      </c>
    </row>
    <row r="59" spans="1:15" x14ac:dyDescent="0.25">
      <c r="A59" s="132" t="s">
        <v>243</v>
      </c>
      <c r="B59" s="96">
        <f>'ODAtafla 2006-2019'!B301</f>
        <v>7.1</v>
      </c>
      <c r="C59" s="96">
        <f>'ODAtafla 2006-2019'!C301</f>
        <v>20.100000000000001</v>
      </c>
      <c r="D59" s="96">
        <f>'ODAtafla 2006-2019'!D301</f>
        <v>46</v>
      </c>
      <c r="E59" s="96">
        <f>'ODAtafla 2006-2019'!E301</f>
        <v>16.8</v>
      </c>
      <c r="F59" s="96">
        <f>'ODAtafla 2006-2019'!F301</f>
        <v>50.58</v>
      </c>
      <c r="G59" s="96">
        <f>'ODAtafla 2006-2019'!G301</f>
        <v>47.88</v>
      </c>
      <c r="H59" s="96">
        <f>'ODAtafla 2006-2019'!H301</f>
        <v>71.193982000000005</v>
      </c>
      <c r="I59" s="96">
        <f>'ODAtafla 2006-2019'!I301</f>
        <v>77.671393999999992</v>
      </c>
      <c r="J59" s="96">
        <f>'ODAtafla 2006-2019'!J301</f>
        <v>37.900705000000002</v>
      </c>
      <c r="K59" s="96">
        <f>'ODAtafla 2006-2019'!K301</f>
        <v>53.840618999999997</v>
      </c>
      <c r="L59" s="96">
        <f>'ODAtafla 2006-2019'!L301</f>
        <v>56.4</v>
      </c>
      <c r="M59" s="96">
        <f>'ODAtafla 2006-2019'!M301</f>
        <v>40</v>
      </c>
      <c r="N59" s="96">
        <f>'ODAtafla 2006-2019'!N301</f>
        <v>114.39999999999999</v>
      </c>
      <c r="O59" s="96">
        <f>'ODAtafla 2006-2019'!O301</f>
        <v>71.403756000000001</v>
      </c>
    </row>
    <row r="60" spans="1:15" x14ac:dyDescent="0.25">
      <c r="A60" s="132" t="s">
        <v>257</v>
      </c>
      <c r="B60" s="96">
        <f>'ODAtafla 2006-2019'!B316</f>
        <v>41.8</v>
      </c>
      <c r="C60" s="96">
        <f>'ODAtafla 2006-2019'!C316</f>
        <v>62.599999999999994</v>
      </c>
      <c r="D60" s="96">
        <f>'ODAtafla 2006-2019'!D316</f>
        <v>84.5</v>
      </c>
      <c r="E60" s="96">
        <f>'ODAtafla 2006-2019'!E316</f>
        <v>70.5</v>
      </c>
      <c r="F60" s="96">
        <f>'ODAtafla 2006-2019'!F316</f>
        <v>77</v>
      </c>
      <c r="G60" s="96">
        <f>'ODAtafla 2006-2019'!G316</f>
        <v>70</v>
      </c>
      <c r="H60" s="96">
        <f>'ODAtafla 2006-2019'!H316</f>
        <v>114.38200000000001</v>
      </c>
      <c r="I60" s="96">
        <f>'ODAtafla 2006-2019'!I316</f>
        <v>207.99968800000002</v>
      </c>
      <c r="J60" s="96">
        <f>'ODAtafla 2006-2019'!J316</f>
        <v>229.02795599999999</v>
      </c>
      <c r="K60" s="96">
        <f>'ODAtafla 2006-2019'!K316</f>
        <v>269.51687499999997</v>
      </c>
      <c r="L60" s="96">
        <f>'ODAtafla 2006-2019'!L316</f>
        <v>256.59999999999997</v>
      </c>
      <c r="M60" s="96">
        <f>'ODAtafla 2006-2019'!M316</f>
        <v>277.10000000000002</v>
      </c>
      <c r="N60" s="96">
        <f>'ODAtafla 2006-2019'!N316</f>
        <v>424.7</v>
      </c>
      <c r="O60" s="96">
        <f>'ODAtafla 2006-2019'!O316</f>
        <v>349.441416</v>
      </c>
    </row>
    <row r="61" spans="1:15" x14ac:dyDescent="0.25">
      <c r="A61" s="132" t="s">
        <v>263</v>
      </c>
      <c r="B61" s="96">
        <f>'ODAtafla 2006-2019'!B324</f>
        <v>0</v>
      </c>
      <c r="C61" s="96">
        <f>'ODAtafla 2006-2019'!C324</f>
        <v>3.5</v>
      </c>
      <c r="D61" s="96">
        <f>'ODAtafla 2006-2019'!D324</f>
        <v>6.2</v>
      </c>
      <c r="E61" s="96">
        <f>'ODAtafla 2006-2019'!E324</f>
        <v>28.799999999999997</v>
      </c>
      <c r="F61" s="96">
        <f>'ODAtafla 2006-2019'!F324</f>
        <v>0</v>
      </c>
      <c r="G61" s="96">
        <f>'ODAtafla 2006-2019'!G324</f>
        <v>0</v>
      </c>
      <c r="H61" s="96">
        <f>'ODAtafla 2006-2019'!H324</f>
        <v>0</v>
      </c>
      <c r="I61" s="96">
        <f>'ODAtafla 2006-2019'!I324</f>
        <v>11.795498</v>
      </c>
      <c r="J61" s="96">
        <f>'ODAtafla 2006-2019'!J324</f>
        <v>4.0428459999999999</v>
      </c>
      <c r="K61" s="96">
        <f>'ODAtafla 2006-2019'!K324</f>
        <v>7.6784700000000008</v>
      </c>
      <c r="L61" s="96">
        <f>'ODAtafla 2006-2019'!L324</f>
        <v>0</v>
      </c>
      <c r="M61" s="96">
        <f>'ODAtafla 2006-2019'!M324</f>
        <v>0.5</v>
      </c>
      <c r="N61" s="96">
        <f>'ODAtafla 2006-2019'!N324</f>
        <v>2.7</v>
      </c>
      <c r="O61" s="96">
        <f>'ODAtafla 2006-2019'!O324</f>
        <v>6.9700000000000006</v>
      </c>
    </row>
    <row r="62" spans="1:15" x14ac:dyDescent="0.25">
      <c r="A62" s="132" t="s">
        <v>265</v>
      </c>
      <c r="B62" s="96">
        <f>'ODAtafla 2006-2019'!B332</f>
        <v>129.6</v>
      </c>
      <c r="C62" s="96">
        <f>'ODAtafla 2006-2019'!C332</f>
        <v>161</v>
      </c>
      <c r="D62" s="96">
        <f>'ODAtafla 2006-2019'!D332</f>
        <v>257</v>
      </c>
      <c r="E62" s="96">
        <f>'ODAtafla 2006-2019'!E332</f>
        <v>210.60000000000002</v>
      </c>
      <c r="F62" s="96">
        <f>'ODAtafla 2006-2019'!F332</f>
        <v>172.872152</v>
      </c>
      <c r="G62" s="96">
        <f>'ODAtafla 2006-2019'!G332</f>
        <v>172.51428300000001</v>
      </c>
      <c r="H62" s="96">
        <f>'ODAtafla 2006-2019'!H332</f>
        <v>180.82085000000001</v>
      </c>
      <c r="I62" s="96">
        <f>'ODAtafla 2006-2019'!I332</f>
        <v>205.65565100000001</v>
      </c>
      <c r="J62" s="96">
        <f>'ODAtafla 2006-2019'!J332</f>
        <v>197.27839200000003</v>
      </c>
      <c r="K62" s="96">
        <f>'ODAtafla 2006-2019'!K332</f>
        <v>209.86173199999999</v>
      </c>
      <c r="L62" s="96">
        <f>'ODAtafla 2006-2019'!L332</f>
        <v>267.7</v>
      </c>
      <c r="M62" s="96">
        <f>'ODAtafla 2006-2019'!M332</f>
        <v>268.8</v>
      </c>
      <c r="N62" s="96">
        <f>'ODAtafla 2006-2019'!N332</f>
        <v>310.5</v>
      </c>
      <c r="O62" s="96">
        <f>'ODAtafla 2006-2019'!O332</f>
        <v>356.84211500000009</v>
      </c>
    </row>
    <row r="63" spans="1:15" ht="15.75" thickBot="1" x14ac:dyDescent="0.3">
      <c r="A63" s="134" t="s">
        <v>266</v>
      </c>
      <c r="B63" s="85">
        <f>'ODAtafla 2006-2019'!B326</f>
        <v>48.9</v>
      </c>
      <c r="C63" s="85">
        <f>'ODAtafla 2006-2019'!C326</f>
        <v>86.199999999999989</v>
      </c>
      <c r="D63" s="85">
        <f>'ODAtafla 2006-2019'!D326</f>
        <v>136.69999999999999</v>
      </c>
      <c r="E63" s="85">
        <f>'ODAtafla 2006-2019'!E326</f>
        <v>116.1</v>
      </c>
      <c r="F63" s="85">
        <f>'ODAtafla 2006-2019'!F326</f>
        <v>127.58</v>
      </c>
      <c r="G63" s="85">
        <f>'ODAtafla 2006-2019'!G326</f>
        <v>117.88</v>
      </c>
      <c r="H63" s="85">
        <f>'ODAtafla 2006-2019'!H326</f>
        <v>185.57598200000001</v>
      </c>
      <c r="I63" s="85">
        <f>'ODAtafla 2006-2019'!I326</f>
        <v>297.46658000000002</v>
      </c>
      <c r="J63" s="85">
        <f>'ODAtafla 2006-2019'!J326</f>
        <v>270.97150699999997</v>
      </c>
      <c r="K63" s="85">
        <f>'ODAtafla 2006-2019'!K326</f>
        <v>331.03596399999998</v>
      </c>
      <c r="L63" s="85">
        <f>'ODAtafla 2006-2019'!L326</f>
        <v>312.99999999999994</v>
      </c>
      <c r="M63" s="85">
        <f>'ODAtafla 2006-2019'!M326</f>
        <v>317.60000000000002</v>
      </c>
      <c r="N63" s="85">
        <f>'ODAtafla 2006-2019'!N326</f>
        <v>541.80000000000007</v>
      </c>
      <c r="O63" s="85">
        <f>'ODAtafla 2006-2019'!O326</f>
        <v>428.47317000000004</v>
      </c>
    </row>
    <row r="64" spans="1:15" ht="15.75" thickBot="1" x14ac:dyDescent="0.3">
      <c r="A64" s="137" t="s">
        <v>267</v>
      </c>
      <c r="B64" s="86">
        <f ca="1">'ODAtafla 2006-2019'!B334</f>
        <v>393</v>
      </c>
      <c r="C64" s="86">
        <f ca="1">'ODAtafla 2006-2019'!C334</f>
        <v>647.30000000000007</v>
      </c>
      <c r="D64" s="86">
        <f ca="1">'ODAtafla 2006-2019'!D334</f>
        <v>936.40000000000009</v>
      </c>
      <c r="E64" s="86">
        <f ca="1">'ODAtafla 2006-2019'!E334</f>
        <v>952</v>
      </c>
      <c r="F64" s="86">
        <f ca="1">'ODAtafla 2006-2019'!F334</f>
        <v>770.75665200000014</v>
      </c>
      <c r="G64" s="86">
        <f>'ODAtafla 2006-2019'!G334</f>
        <v>770.22391799999991</v>
      </c>
      <c r="H64" s="86">
        <f>'ODAtafla 2006-2019'!H334</f>
        <v>929.41728699999999</v>
      </c>
      <c r="I64" s="86">
        <f>'ODAtafla 2006-2019'!I334</f>
        <v>1175.5774200000001</v>
      </c>
      <c r="J64" s="86">
        <f>'ODAtafla 2006-2019'!J334</f>
        <v>1458.3221229999999</v>
      </c>
      <c r="K64" s="86">
        <f>'ODAtafla 2006-2019'!K334</f>
        <v>1740.3306340000001</v>
      </c>
      <c r="L64" s="86">
        <f>'ODAtafla 2006-2019'!L334</f>
        <v>3091.3999999999996</v>
      </c>
      <c r="M64" s="86">
        <f>'ODAtafla 2006-2019'!M334</f>
        <v>3797.3920840000001</v>
      </c>
      <c r="N64" s="86">
        <f>'ODAtafla 2006-2019'!N334</f>
        <v>2871.7977649999998</v>
      </c>
      <c r="O64" s="86">
        <f>'ODAtafla 2006-2019'!O334</f>
        <v>2596.482442</v>
      </c>
    </row>
    <row r="65" spans="1:15" ht="15.75" thickBot="1" x14ac:dyDescent="0.3"/>
    <row r="66" spans="1:15" ht="18.75" x14ac:dyDescent="0.3">
      <c r="A66" s="75" t="s">
        <v>268</v>
      </c>
      <c r="B66" s="102">
        <f ca="1">'ODAtafla 2006-2019'!B337</f>
        <v>2964.47</v>
      </c>
      <c r="C66" s="102">
        <f ca="1">'ODAtafla 2006-2019'!C337</f>
        <v>3029.42</v>
      </c>
      <c r="D66" s="102">
        <f ca="1">'ODAtafla 2006-2019'!D337</f>
        <v>4290.8740000000007</v>
      </c>
      <c r="E66" s="102">
        <f ca="1">'ODAtafla 2006-2019'!E337</f>
        <v>4243.51</v>
      </c>
      <c r="F66" s="102">
        <f ca="1">'ODAtafla 2006-2019'!F337</f>
        <v>3473.5811480000002</v>
      </c>
      <c r="G66" s="103">
        <f ca="1">'ODAtafla 2006-2019'!G337</f>
        <v>2966.0378430000001</v>
      </c>
      <c r="H66" s="102">
        <f ca="1">'ODAtafla 2006-2019'!H337</f>
        <v>3268.4008154500002</v>
      </c>
      <c r="I66" s="103">
        <f ca="1">'ODAtafla 2006-2019'!I337</f>
        <v>4264.8995133900007</v>
      </c>
      <c r="J66" s="102">
        <f ca="1">'ODAtafla 2006-2019'!J337</f>
        <v>4461.8446185986159</v>
      </c>
      <c r="K66" s="103">
        <f ca="1">'ODAtafla 2006-2019'!K337</f>
        <v>5257.8103881400002</v>
      </c>
      <c r="L66" s="102">
        <f>'ODAtafla 2006-2019'!L337</f>
        <v>7100.53</v>
      </c>
      <c r="M66" s="103">
        <f>'ODAtafla 2006-2019'!M337</f>
        <v>7389.9383390000003</v>
      </c>
      <c r="N66" s="121">
        <f>'ODAtafla 2006-2019'!N337</f>
        <v>8030.8977649999997</v>
      </c>
      <c r="O66" s="121">
        <f>'ODAtafla 2006-2019'!O337</f>
        <v>7530.4033190000009</v>
      </c>
    </row>
    <row r="67" spans="1:15" ht="15.75" thickBot="1" x14ac:dyDescent="0.3">
      <c r="A67" s="122" t="s">
        <v>269</v>
      </c>
      <c r="B67" s="123">
        <f ca="1">'ODAtafla 2006-2019'!B339</f>
        <v>2.6138760351565255E-3</v>
      </c>
      <c r="C67" s="123">
        <f ca="1">'ODAtafla 2006-2019'!C339</f>
        <v>2.3096939565160706E-3</v>
      </c>
      <c r="D67" s="123">
        <f ca="1">'ODAtafla 2006-2019'!D339</f>
        <v>3.4027090832240967E-3</v>
      </c>
      <c r="E67" s="123">
        <f ca="1">'ODAtafla 2006-2019'!E339</f>
        <v>3.1686902628434888E-3</v>
      </c>
      <c r="F67" s="123">
        <f ca="1">'ODAtafla 2006-2019'!F339</f>
        <v>2.4603552065028075E-3</v>
      </c>
      <c r="G67" s="124">
        <f ca="1">'ODAtafla 2006-2019'!G339</f>
        <v>1.9187236465117001E-3</v>
      </c>
      <c r="H67" s="123">
        <f ca="1">'ODAtafla 2006-2019'!H339</f>
        <v>1.9514809646167285E-3</v>
      </c>
      <c r="I67" s="124">
        <f ca="1">'ODAtafla 2006-2019'!I339</f>
        <v>2.2036041341879286E-3</v>
      </c>
      <c r="J67" s="123">
        <f ca="1">'ODAtafla 2006-2019'!J339</f>
        <v>2.1833226016005143E-3</v>
      </c>
      <c r="K67" s="124">
        <f ca="1">'ODAtafla 2006-2019'!K339</f>
        <v>2.29917780576713E-3</v>
      </c>
      <c r="L67" s="123">
        <f>'ODAtafla 2006-2019'!L339</f>
        <v>2.7994608088970471E-3</v>
      </c>
      <c r="M67" s="124">
        <f>'ODAtafla 2006-2019'!M339</f>
        <v>2.8175018801930253E-3</v>
      </c>
      <c r="N67" s="123">
        <f>'ODAtafla 2006-2019'!N339</f>
        <v>2.8566095248563051E-3</v>
      </c>
      <c r="O67" s="123">
        <f>'ODAtafla 2006-2019'!O339</f>
        <v>2.4868287099400125E-3</v>
      </c>
    </row>
    <row r="68" spans="1:15" ht="15.75" thickTop="1" x14ac:dyDescent="0.25"/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ODAtafla 2006-2019</vt:lpstr>
      <vt:lpstr>Samantekt 2006-2019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Gunnþóra Mist Björnsdóttir</dc:creator>
  <cp:lastModifiedBy>Hafþór Reinhardsson</cp:lastModifiedBy>
  <dcterms:created xsi:type="dcterms:W3CDTF">2019-11-25T10:55:42Z</dcterms:created>
  <dcterms:modified xsi:type="dcterms:W3CDTF">2020-12-03T17:42:58Z</dcterms:modified>
</cp:coreProperties>
</file>