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HSS\10. Fjármál - þróunarsamvinna\"/>
    </mc:Choice>
  </mc:AlternateContent>
  <xr:revisionPtr revIDLastSave="0" documentId="8_{0DAE3736-E61E-4548-9967-8A60F5B1FD87}" xr6:coauthVersionLast="33" xr6:coauthVersionMax="33" xr10:uidLastSave="{00000000-0000-0000-0000-000000000000}"/>
  <bookViews>
    <workbookView xWindow="120" yWindow="540" windowWidth="14040" windowHeight="8430" xr2:uid="{00000000-000D-0000-FFFF-FFFF00000000}"/>
  </bookViews>
  <sheets>
    <sheet name="ODA" sheetId="8" r:id="rId1"/>
  </sheets>
  <definedNames>
    <definedName name="_xlnm.Print_Area" localSheetId="0">ODA!$A$1:$O$204</definedName>
  </definedNames>
  <calcPr calcId="179017"/>
</workbook>
</file>

<file path=xl/calcChain.xml><?xml version="1.0" encoding="utf-8"?>
<calcChain xmlns="http://schemas.openxmlformats.org/spreadsheetml/2006/main">
  <c r="O189" i="8" l="1"/>
  <c r="O188" i="8"/>
  <c r="O99" i="8"/>
  <c r="O102" i="8"/>
  <c r="O17" i="8" l="1"/>
  <c r="O116" i="8" l="1"/>
  <c r="O34" i="8"/>
  <c r="O16" i="8"/>
  <c r="O5" i="8"/>
  <c r="O171" i="8" l="1"/>
  <c r="O160" i="8" s="1"/>
  <c r="O131" i="8"/>
  <c r="O33" i="8" s="1"/>
  <c r="O4" i="8"/>
  <c r="H200" i="8"/>
  <c r="J200" i="8"/>
  <c r="L200" i="8"/>
  <c r="M200" i="8"/>
  <c r="O201" i="8" l="1"/>
  <c r="O202" i="8" s="1"/>
  <c r="N131" i="8"/>
  <c r="N171" i="8" l="1"/>
  <c r="N160" i="8" s="1"/>
  <c r="N102" i="8"/>
  <c r="N98" i="8"/>
  <c r="N85" i="8"/>
  <c r="N81" i="8"/>
  <c r="N50" i="8"/>
  <c r="N18" i="8"/>
  <c r="N16" i="8" s="1"/>
  <c r="N116" i="8"/>
  <c r="N5" i="8"/>
  <c r="M189" i="8"/>
  <c r="M26" i="8"/>
  <c r="M199" i="8"/>
  <c r="L199" i="8"/>
  <c r="M194" i="8"/>
  <c r="L189" i="8"/>
  <c r="J189" i="8"/>
  <c r="H189" i="8"/>
  <c r="M188" i="8"/>
  <c r="L188" i="8"/>
  <c r="K188" i="8"/>
  <c r="M177" i="8"/>
  <c r="L177" i="8"/>
  <c r="J177" i="8"/>
  <c r="M175" i="8"/>
  <c r="M171" i="8" s="1"/>
  <c r="M160" i="8" s="1"/>
  <c r="L175" i="8"/>
  <c r="J175" i="8"/>
  <c r="M174" i="8"/>
  <c r="L174" i="8"/>
  <c r="K174" i="8"/>
  <c r="J174" i="8"/>
  <c r="I171" i="8"/>
  <c r="H171" i="8"/>
  <c r="G171" i="8"/>
  <c r="G160" i="8" s="1"/>
  <c r="F171" i="8"/>
  <c r="F160" i="8" s="1"/>
  <c r="E171" i="8"/>
  <c r="E160" i="8" s="1"/>
  <c r="D171" i="8"/>
  <c r="D160" i="8" s="1"/>
  <c r="M164" i="8"/>
  <c r="J164" i="8"/>
  <c r="M163" i="8"/>
  <c r="I160" i="8"/>
  <c r="J154" i="8"/>
  <c r="J150" i="8"/>
  <c r="M146" i="8"/>
  <c r="M145" i="8"/>
  <c r="J145" i="8"/>
  <c r="M142" i="8"/>
  <c r="M141" i="8"/>
  <c r="L131" i="8"/>
  <c r="K131" i="8"/>
  <c r="I131" i="8"/>
  <c r="H131" i="8"/>
  <c r="G131" i="8"/>
  <c r="F131" i="8"/>
  <c r="E131" i="8"/>
  <c r="D131" i="8"/>
  <c r="M128" i="8"/>
  <c r="M116" i="8" s="1"/>
  <c r="J127" i="8"/>
  <c r="J121" i="8"/>
  <c r="H121" i="8"/>
  <c r="H120" i="8"/>
  <c r="H116" i="8" s="1"/>
  <c r="L116" i="8"/>
  <c r="K116" i="8"/>
  <c r="I116" i="8"/>
  <c r="G116" i="8"/>
  <c r="F116" i="8"/>
  <c r="E116" i="8"/>
  <c r="D116" i="8"/>
  <c r="M113" i="8"/>
  <c r="E113" i="8"/>
  <c r="E34" i="8" s="1"/>
  <c r="E33" i="8" s="1"/>
  <c r="D113" i="8"/>
  <c r="D34" i="8" s="1"/>
  <c r="M111" i="8"/>
  <c r="M106" i="8"/>
  <c r="M99" i="8"/>
  <c r="L99" i="8"/>
  <c r="K99" i="8"/>
  <c r="J99" i="8"/>
  <c r="H99" i="8"/>
  <c r="I91" i="8"/>
  <c r="H85" i="8"/>
  <c r="M82" i="8"/>
  <c r="L80" i="8"/>
  <c r="L79" i="8"/>
  <c r="J79" i="8"/>
  <c r="L78" i="8"/>
  <c r="H77" i="8"/>
  <c r="H72" i="8"/>
  <c r="M71" i="8"/>
  <c r="L70" i="8"/>
  <c r="J68" i="8"/>
  <c r="H62" i="8"/>
  <c r="L50" i="8"/>
  <c r="J49" i="8"/>
  <c r="M47" i="8"/>
  <c r="L47" i="8"/>
  <c r="K47" i="8"/>
  <c r="H45" i="8"/>
  <c r="L40" i="8"/>
  <c r="K40" i="8"/>
  <c r="M36" i="8"/>
  <c r="L36" i="8"/>
  <c r="K36" i="8"/>
  <c r="J36" i="8"/>
  <c r="H36" i="8"/>
  <c r="M35" i="8"/>
  <c r="F35" i="8"/>
  <c r="F34" i="8" s="1"/>
  <c r="F33" i="8" s="1"/>
  <c r="I34" i="8"/>
  <c r="G34" i="8"/>
  <c r="M32" i="8"/>
  <c r="G32" i="8"/>
  <c r="G16" i="8" s="1"/>
  <c r="M28" i="8"/>
  <c r="L28" i="8"/>
  <c r="L17" i="8" s="1"/>
  <c r="J26" i="8"/>
  <c r="J21" i="8"/>
  <c r="K18" i="8"/>
  <c r="K16" i="8" s="1"/>
  <c r="J18" i="8"/>
  <c r="I18" i="8"/>
  <c r="I16" i="8" s="1"/>
  <c r="K17" i="8"/>
  <c r="H17" i="8"/>
  <c r="G17" i="8"/>
  <c r="H16" i="8"/>
  <c r="F16" i="8"/>
  <c r="E16" i="8"/>
  <c r="D16" i="8"/>
  <c r="M13" i="8"/>
  <c r="M5" i="8" s="1"/>
  <c r="K13" i="8"/>
  <c r="K5" i="8" s="1"/>
  <c r="L5" i="8"/>
  <c r="J5" i="8"/>
  <c r="I5" i="8"/>
  <c r="H5" i="8"/>
  <c r="G5" i="8"/>
  <c r="F5" i="8"/>
  <c r="E5" i="8"/>
  <c r="D5" i="8"/>
  <c r="J116" i="8" l="1"/>
  <c r="G33" i="8"/>
  <c r="L16" i="8"/>
  <c r="L4" i="8" s="1"/>
  <c r="I4" i="8"/>
  <c r="N34" i="8"/>
  <c r="N33" i="8" s="1"/>
  <c r="D4" i="8"/>
  <c r="E4" i="8"/>
  <c r="E201" i="8" s="1"/>
  <c r="E202" i="8" s="1"/>
  <c r="J16" i="8"/>
  <c r="J4" i="8" s="1"/>
  <c r="M17" i="8"/>
  <c r="D33" i="8"/>
  <c r="M131" i="8"/>
  <c r="G4" i="8"/>
  <c r="G201" i="8" s="1"/>
  <c r="G202" i="8" s="1"/>
  <c r="M34" i="8"/>
  <c r="K171" i="8"/>
  <c r="K160" i="8" s="1"/>
  <c r="K4" i="8"/>
  <c r="F4" i="8"/>
  <c r="F201" i="8" s="1"/>
  <c r="F202" i="8" s="1"/>
  <c r="M16" i="8"/>
  <c r="M4" i="8" s="1"/>
  <c r="L34" i="8"/>
  <c r="L33" i="8" s="1"/>
  <c r="J34" i="8"/>
  <c r="J131" i="8"/>
  <c r="J171" i="8"/>
  <c r="J160" i="8" s="1"/>
  <c r="H4" i="8"/>
  <c r="H34" i="8"/>
  <c r="H33" i="8" s="1"/>
  <c r="K34" i="8"/>
  <c r="K33" i="8" s="1"/>
  <c r="L171" i="8"/>
  <c r="L160" i="8" s="1"/>
  <c r="H160" i="8"/>
  <c r="J17" i="8"/>
  <c r="I33" i="8"/>
  <c r="I201" i="8" s="1"/>
  <c r="I202" i="8" s="1"/>
  <c r="I17" i="8"/>
  <c r="N17" i="8"/>
  <c r="N4" i="8"/>
  <c r="L201" i="8" l="1"/>
  <c r="L202" i="8" s="1"/>
  <c r="G207" i="8"/>
  <c r="N201" i="8"/>
  <c r="N202" i="8" s="1"/>
  <c r="M33" i="8"/>
  <c r="M201" i="8" s="1"/>
  <c r="M202" i="8" s="1"/>
  <c r="D201" i="8"/>
  <c r="D202" i="8" s="1"/>
  <c r="I207" i="8"/>
  <c r="H201" i="8"/>
  <c r="H202" i="8" s="1"/>
  <c r="J33" i="8"/>
  <c r="J201" i="8" s="1"/>
  <c r="K201" i="8"/>
  <c r="K202" i="8" s="1"/>
  <c r="J207" i="8" l="1"/>
  <c r="J202" i="8"/>
  <c r="H20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Pálína B. Matthíasdóttir</author>
    <author>Elín R. Sigurðardóttir</author>
    <author>Starfsfólk</author>
    <author>Hermann Ingólfsson</author>
  </authors>
  <commentList>
    <comment ref="J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Pálína B. Matthíasdóttir:</t>
        </r>
        <r>
          <rPr>
            <sz val="9"/>
            <color indexed="81"/>
            <rFont val="Tahoma"/>
            <family val="2"/>
          </rPr>
          <t xml:space="preserve">
ATH hvort fyrri ár séu rétt</t>
        </r>
      </text>
    </comment>
    <comment ref="D50" authorId="1" shapeId="0" xr:uid="{00000000-0006-0000-0000-000002000000}">
      <text>
        <r>
          <rPr>
            <sz val="8"/>
            <color indexed="81"/>
            <rFont val="Tahoma"/>
            <family val="2"/>
          </rPr>
          <t>WHO 6,0
UNICEF Palestína 5,0
UNICEF Tsunami 10,0</t>
        </r>
      </text>
    </comment>
    <comment ref="F77" authorId="2" shapeId="0" xr:uid="{00000000-0006-0000-0000-000003000000}">
      <text>
        <r>
          <rPr>
            <sz val="8"/>
            <color indexed="81"/>
            <rFont val="Tahoma"/>
            <family val="2"/>
          </rPr>
          <t xml:space="preserve">Almennt framlag: 22,5
flóttamannab. Palest. 4,1
Gaza: 6,1
</t>
        </r>
        <r>
          <rPr>
            <b/>
            <sz val="8"/>
            <color indexed="81"/>
            <rFont val="Tahoma"/>
            <family val="2"/>
          </rPr>
          <t>Samtals: 32,7</t>
        </r>
      </text>
    </comment>
    <comment ref="D99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Starfsfólk:</t>
        </r>
        <r>
          <rPr>
            <sz val="8"/>
            <color indexed="81"/>
            <rFont val="Tahoma"/>
            <family val="2"/>
          </rPr>
          <t xml:space="preserve">
WFP neyðaraðstoð:
Darfúr: 200.000 USD (Friðargæslulið) 13 m.kr. Áætl.
Líbanon: 100.000 USD
Austur-Tímor: 100.000 USD
Palestína: 100.000 USD
SAMTALS: 500.000 USD</t>
        </r>
      </text>
    </comment>
    <comment ref="E99" authorId="3" shapeId="0" xr:uid="{00000000-0006-0000-0000-000005000000}">
      <text>
        <r>
          <rPr>
            <b/>
            <sz val="8"/>
            <color indexed="81"/>
            <rFont val="Tahoma"/>
            <family val="2"/>
          </rPr>
          <t>Hermann Ingólfsson:</t>
        </r>
        <r>
          <rPr>
            <sz val="8"/>
            <color indexed="81"/>
            <rFont val="Tahoma"/>
            <family val="2"/>
          </rPr>
          <t xml:space="preserve">
Tsunami: 10 m.kr
Pakistan: 4,5 m.kr.
Malaví: 6 m.kr.
School Feeding Programme: Írak: 9 m.kr (af Írakspeningum)
</t>
        </r>
      </text>
    </comment>
    <comment ref="F99" authorId="2" shapeId="0" xr:uid="{00000000-0006-0000-0000-000006000000}">
      <text>
        <r>
          <rPr>
            <sz val="8"/>
            <color indexed="81"/>
            <rFont val="Tahoma"/>
            <family val="2"/>
          </rPr>
          <t>Nepal: 4,9
Hækkandi matvælaverð: 37,9</t>
        </r>
        <r>
          <rPr>
            <b/>
            <sz val="8"/>
            <color indexed="81"/>
            <rFont val="Tahoma"/>
            <family val="2"/>
          </rPr>
          <t xml:space="preserve">
Samtals: 42,8</t>
        </r>
      </text>
    </comment>
    <comment ref="D108" authorId="2" shapeId="0" xr:uid="{00000000-0006-0000-0000-000007000000}">
      <text>
        <r>
          <rPr>
            <b/>
            <sz val="8"/>
            <color indexed="81"/>
            <rFont val="Tahoma"/>
            <family val="2"/>
          </rPr>
          <t>Starfsfólk:</t>
        </r>
        <r>
          <rPr>
            <sz val="8"/>
            <color indexed="81"/>
            <rFont val="Tahoma"/>
            <family val="2"/>
          </rPr>
          <t xml:space="preserve">
WHO neyðarðastoð
Indónesía:  3 m.kr. (43,000 USD)
Líbanon: 6 m.kr.</t>
        </r>
      </text>
    </comment>
  </commentList>
</comments>
</file>

<file path=xl/sharedStrings.xml><?xml version="1.0" encoding="utf-8"?>
<sst xmlns="http://schemas.openxmlformats.org/spreadsheetml/2006/main" count="210" uniqueCount="205">
  <si>
    <t>Opinber þróunaraðstoð (ODA)</t>
  </si>
  <si>
    <t>Í  milljónum króna</t>
  </si>
  <si>
    <t>þar af:</t>
  </si>
  <si>
    <t>Malaví</t>
  </si>
  <si>
    <t>Mósambík</t>
  </si>
  <si>
    <t>Namibía</t>
  </si>
  <si>
    <t>Úganda</t>
  </si>
  <si>
    <t>Sri Lanka</t>
  </si>
  <si>
    <t>Nikaragva</t>
  </si>
  <si>
    <t>Annað</t>
  </si>
  <si>
    <t>Enduruppbygging á ófriðarsvæðum</t>
  </si>
  <si>
    <t>Sameinuðu þjóðirnar</t>
  </si>
  <si>
    <t>Sameinuðu þjóðirnar almennt framlag (12%)</t>
  </si>
  <si>
    <t>FAO - íslenskur styrktarsjóður</t>
  </si>
  <si>
    <t>UNDP - Nordic Business Outreach</t>
  </si>
  <si>
    <t xml:space="preserve">UNDP - JPO verkefni </t>
  </si>
  <si>
    <t>UNDP - Integrated Framework Trust Fund</t>
  </si>
  <si>
    <t xml:space="preserve">UNICEF - JPO verkefni </t>
  </si>
  <si>
    <t>OCHA - Neyðarsjóður (CERF)</t>
  </si>
  <si>
    <t>UNHCR - Afganistan</t>
  </si>
  <si>
    <t>WFP - Neyðaraðstoð</t>
  </si>
  <si>
    <t>WFP - Börn styðja börn</t>
  </si>
  <si>
    <t>WFP - tölvuleikur</t>
  </si>
  <si>
    <t>UNVFVT</t>
  </si>
  <si>
    <t>Peacebuilding Fund</t>
  </si>
  <si>
    <t>Alþjóðabankinn</t>
  </si>
  <si>
    <t>Alþjóðaframfarastofnunin (IDA)</t>
  </si>
  <si>
    <t>Íslenskur ráðgjafasjóður hjá IFC</t>
  </si>
  <si>
    <t>Samstarf í orkumálum ESMAP</t>
  </si>
  <si>
    <t>Súdan Trust Fund</t>
  </si>
  <si>
    <t>Viðskiptaumhverfi - Doing Business</t>
  </si>
  <si>
    <t>Skuldaniðurfelling þróunarríkja hjá IDA (MDRI)</t>
  </si>
  <si>
    <t>Mannréttindasjóður</t>
  </si>
  <si>
    <t>Átak gegn útbreiðslu fuglaflensu</t>
  </si>
  <si>
    <t>Norræni þróunarsjóðurinn (NDF)</t>
  </si>
  <si>
    <t>Niðurfelling skulda þróunarríkja (HIPC)</t>
  </si>
  <si>
    <t>Styrktarsjóður fyrir smáeyþróunarríki - IGI</t>
  </si>
  <si>
    <t>Alþjóðagjaldeyrissjóðurinn (IMF)</t>
  </si>
  <si>
    <t>Alþjóðaviðskiptastofnunin (WTO)</t>
  </si>
  <si>
    <t>Alþjóðasjóður gegn alnæmi, berklum og malaríu</t>
  </si>
  <si>
    <t>Alþjóðasjóður um þróun landbúnaðar (IFAD)</t>
  </si>
  <si>
    <t>Skuldastýring í þróunarríkjum</t>
  </si>
  <si>
    <t>Sjávarútvegsskóli Háskóla SÞ</t>
  </si>
  <si>
    <t xml:space="preserve">Jafnréttisskóli </t>
  </si>
  <si>
    <t>Flóttamannaaðstoð</t>
  </si>
  <si>
    <t>Viðskiptaþróunarsjóður</t>
  </si>
  <si>
    <t>Vísindastyrktarsjóður</t>
  </si>
  <si>
    <t>Framlög til félagasamtaka</t>
  </si>
  <si>
    <t>ABC barnahjálp</t>
  </si>
  <si>
    <t>Barnaheill</t>
  </si>
  <si>
    <t>Rauði kross Íslands</t>
  </si>
  <si>
    <t>Hjálparstarf kirkjunnar</t>
  </si>
  <si>
    <t>Samband íslenskra kristniboðsfélaga</t>
  </si>
  <si>
    <t>SOS - Barnaþorp</t>
  </si>
  <si>
    <t>Alnæmisbörn</t>
  </si>
  <si>
    <t>SP0ES - Togo</t>
  </si>
  <si>
    <t>Landsnefnd UNICEF - Austur Kongó</t>
  </si>
  <si>
    <t>Þróunarverkefni í Palestínu</t>
  </si>
  <si>
    <t>Þróunarverkefni í Afganistan</t>
  </si>
  <si>
    <t>Ýmis framlög og neyðaraðstoð</t>
  </si>
  <si>
    <t>SAMTALS</t>
  </si>
  <si>
    <t>Hlutfall af vergum þjóðartekjum (%)</t>
  </si>
  <si>
    <t xml:space="preserve">* tölur um íslensku Friðargæsluna sundurliðaðar frá og með 2009. </t>
  </si>
  <si>
    <t>Almennur kostnaður</t>
  </si>
  <si>
    <t>Undirbúningsnámskeið</t>
  </si>
  <si>
    <t>Kosningaeftirlit ÖSE</t>
  </si>
  <si>
    <t>Íslenska alþjóðabjörgunarsveitin</t>
  </si>
  <si>
    <t>Srí Lanka</t>
  </si>
  <si>
    <t>Líbería</t>
  </si>
  <si>
    <t>Mið-Austurlönd</t>
  </si>
  <si>
    <t>Balkanskagi</t>
  </si>
  <si>
    <t>Afganistan</t>
  </si>
  <si>
    <t>Skammtímaverkefni WFP</t>
  </si>
  <si>
    <t>Skammtímaverkefni UNICEF</t>
  </si>
  <si>
    <t>FAO - Lán á sérfræðingi</t>
  </si>
  <si>
    <t>FAO - Málþing haldið á Ísl.</t>
  </si>
  <si>
    <t>UNDP - Almennt framlag</t>
  </si>
  <si>
    <t>UNICEF - Almennt framlag</t>
  </si>
  <si>
    <t>UNICEF - Neyðaraðstoð</t>
  </si>
  <si>
    <t>UNICEF - Verkefni gegn barnahermennsku</t>
  </si>
  <si>
    <t>UNICEF - Verkefni í Gíneu Bissá</t>
  </si>
  <si>
    <t>UNICEF - Verkefni í Palestínu</t>
  </si>
  <si>
    <t>UNICEF - Menntaverkefni í Sierra Leone</t>
  </si>
  <si>
    <t>UNEP - "Assessment of Assessment"</t>
  </si>
  <si>
    <t>UNFPA - Baráttan gegn fistli</t>
  </si>
  <si>
    <t>UNITAR - Mennta- og rannsóknarstofnun SÞ</t>
  </si>
  <si>
    <t>WHO - Mænusóttarverkefni</t>
  </si>
  <si>
    <t>WHO - Neyðaraðstoð</t>
  </si>
  <si>
    <t>WHO - Átak gegn útbreiðslu fuglaflensu</t>
  </si>
  <si>
    <t>IAEA - Tæknisjóður</t>
  </si>
  <si>
    <t>Tvíhliða þróunarsamvinna</t>
  </si>
  <si>
    <t>Þróunarsamvinna í samstarfi við fjölþjóðlegar stofnanir</t>
  </si>
  <si>
    <t>Makeba - endurhæfingarstöð fyrir stúlkur í S-Afríku</t>
  </si>
  <si>
    <t>Háskóli Íslands - Alþjóðamálastofnun</t>
  </si>
  <si>
    <t>Neyðaraðstoð í Afganistan - Neyðarsjóður ISAF</t>
  </si>
  <si>
    <t>Mannréttindaverkefni í þróunarlöndum</t>
  </si>
  <si>
    <t>Önnur marghliða þróunarsamvinna</t>
  </si>
  <si>
    <t>Félag S.Þ. á Íslandi</t>
  </si>
  <si>
    <t>UNICEF - UNFPA FGM</t>
  </si>
  <si>
    <t>WFP - Fulltrúi</t>
  </si>
  <si>
    <t>Framkvæmd ályktunnar 1325</t>
  </si>
  <si>
    <t>Orkumál</t>
  </si>
  <si>
    <t>UNICEF - Fulltrúi Palestínu</t>
  </si>
  <si>
    <t>OCHA - Palestína / Fulltrúi</t>
  </si>
  <si>
    <t>UN Women - Almennt framlag</t>
  </si>
  <si>
    <t>UN Women - Réttindi kvenna í suðaustur-Evrópu</t>
  </si>
  <si>
    <t>UN Women - Fulltrúi Balkanskaga</t>
  </si>
  <si>
    <t>UN Women - Afganistan</t>
  </si>
  <si>
    <t>UN Women - Palestína</t>
  </si>
  <si>
    <t xml:space="preserve">UN Women - JPO verkefni </t>
  </si>
  <si>
    <t>UN Women - Landsnefnd</t>
  </si>
  <si>
    <t>UNHCR - Líbía</t>
  </si>
  <si>
    <t>UNESCO - Neyðarsjóður (60%)</t>
  </si>
  <si>
    <t>UNICEF - Landsnefnd UNICEF</t>
  </si>
  <si>
    <t>RIO+20 Fund</t>
  </si>
  <si>
    <t>ILO (60% since 2011)</t>
  </si>
  <si>
    <t>UNESCO (60% frá 2011)</t>
  </si>
  <si>
    <t>WHO (76%)</t>
  </si>
  <si>
    <t>Eþíópía</t>
  </si>
  <si>
    <t>OCHA - Almennt framlag</t>
  </si>
  <si>
    <t>UNHCR - Almennt framlag</t>
  </si>
  <si>
    <t>UNRWA - Almennt framlag</t>
  </si>
  <si>
    <t>UNRWA - Fulltrúi í Jerúsalem</t>
  </si>
  <si>
    <t>UNRWA - Fulltrúi í Beirút</t>
  </si>
  <si>
    <t>UNRWA - Fulltrúi í Amman</t>
  </si>
  <si>
    <t>UNFPA - Almennt framlag</t>
  </si>
  <si>
    <t>Rekstrarkostnaður</t>
  </si>
  <si>
    <t>Íslenska friðargæslan</t>
  </si>
  <si>
    <t>UNICEF - Fulltrúi Sómalíu</t>
  </si>
  <si>
    <t>Loftslagsverkefni - WEDO</t>
  </si>
  <si>
    <t>Loftslagsverkefni - FAO+GEST</t>
  </si>
  <si>
    <t>Loftslagsverkefni - LDC Fund</t>
  </si>
  <si>
    <t>Loftslagsverkefni - ICEIDA</t>
  </si>
  <si>
    <t>OCHA - Námskeið</t>
  </si>
  <si>
    <t>Kjördæmissamstarf</t>
  </si>
  <si>
    <t>Landgræðsluskóli Háskóla SÞ</t>
  </si>
  <si>
    <t>Jarðhitaskóli Háskóla SÞ</t>
  </si>
  <si>
    <t>IAEA - Almennt framlag (33%)</t>
  </si>
  <si>
    <t>Samstarfssamningur um orkumál í Austur-Afríku</t>
  </si>
  <si>
    <t>Tæknileg aðstoð við þróunarríki vegna orku- og auðlindamála</t>
  </si>
  <si>
    <t>Auðlindir og samvinna</t>
  </si>
  <si>
    <t>Sérstök verkefni</t>
  </si>
  <si>
    <t>Alþjóðaráð Rauða Krossins</t>
  </si>
  <si>
    <t>Loftslagsverkefni - IRENA</t>
  </si>
  <si>
    <t>UNRWA - Neyðaraðstoð</t>
  </si>
  <si>
    <t>OCHA - Neyðarsjóður fyrir Palestínu</t>
  </si>
  <si>
    <t>Samstarf í jafnréttismálum GAP / Gender Umbrella</t>
  </si>
  <si>
    <t>ENZA</t>
  </si>
  <si>
    <t>BISER</t>
  </si>
  <si>
    <t xml:space="preserve">** VÞT 2009 - 2011 samkvæmt bráðabirgðatölum hagstofunnar nóvember 2012. VÞT 2006 - 2008 samkvæmt Hagstofunni 29/10/2010. </t>
  </si>
  <si>
    <t>Starfsmannasjóður</t>
  </si>
  <si>
    <t>UNHCR - Sýrland</t>
  </si>
  <si>
    <t>UNICEF - Fulltrúi Pakistan</t>
  </si>
  <si>
    <t xml:space="preserve">Samstarf í fiskimálum PROFISH </t>
  </si>
  <si>
    <t>FAO (51%)</t>
  </si>
  <si>
    <t>UN Women - Loftslagsverkefni</t>
  </si>
  <si>
    <t>UNFCCC (61%)</t>
  </si>
  <si>
    <t>OSCE Almennt framlag (74%)</t>
  </si>
  <si>
    <t>UN Women - Fulltrúi Palestínu</t>
  </si>
  <si>
    <t>UNDP - Neyðaraðstoð</t>
  </si>
  <si>
    <t>FAO - Verkefni</t>
  </si>
  <si>
    <t>OECD / DAC Aðildarferli</t>
  </si>
  <si>
    <t>UN Women - Beijing+20 átaksverkefni</t>
  </si>
  <si>
    <t>Loftslagsverkefni - Alþjóðaráðstefna um kolefnisbindingu</t>
  </si>
  <si>
    <t>UNDP - SE4ALL</t>
  </si>
  <si>
    <t>FAO - jafnréttisverkefni</t>
  </si>
  <si>
    <t>Sól í Tógó</t>
  </si>
  <si>
    <t>Ráðgjöf, fræðsla, eftirlit og úttektir</t>
  </si>
  <si>
    <t>Global Equality Fund</t>
  </si>
  <si>
    <t>Jarðskjálftarannsóknir</t>
  </si>
  <si>
    <t>Evrópuráðið - almennt framlag</t>
  </si>
  <si>
    <t>Evrópuráðið - fulltrúi</t>
  </si>
  <si>
    <t>UNDP - Almannavarnarverkefni / Fulltrúi í Palestínu</t>
  </si>
  <si>
    <t>UN Women - Úganda</t>
  </si>
  <si>
    <t>OSCE Framlag vegna Úkraínu</t>
  </si>
  <si>
    <t>OSCE Fulltrúi í Úkraínu</t>
  </si>
  <si>
    <t>Alþjóðabankinn, hlutafjáraukning (IBRD)</t>
  </si>
  <si>
    <t>Græni Loftslagssjóðurinn</t>
  </si>
  <si>
    <t>Félagið Ísland-Palestína</t>
  </si>
  <si>
    <t>IOM Skylduframlag</t>
  </si>
  <si>
    <t>Kynningarmál og viðburðir</t>
  </si>
  <si>
    <t>Úttekt á fyrirkomulagi þróunarsamvinnu Íslands</t>
  </si>
  <si>
    <t>Hælisleitendur</t>
  </si>
  <si>
    <t>UNICEF - Verkefni í Afganistan</t>
  </si>
  <si>
    <t>UN Women - Styrktarsj. um afnám ofbeldis gegn konum</t>
  </si>
  <si>
    <t>UN Women - Fulltrúi í Úkraínu</t>
  </si>
  <si>
    <t>UN Women - Barbershop</t>
  </si>
  <si>
    <t>OCHA - Sýrland</t>
  </si>
  <si>
    <t>UN Women - Sýrland</t>
  </si>
  <si>
    <t>EBRD, Chernobyl sjóður</t>
  </si>
  <si>
    <t>Æskan í Öndvegi</t>
  </si>
  <si>
    <t>Úttekt á skólum HSÞ á Íslandi</t>
  </si>
  <si>
    <t>Tvíhliða þróunarsamvinna (ÞSSÍ til 2015)</t>
  </si>
  <si>
    <t>Asíubankinn (AIIB) (85%)</t>
  </si>
  <si>
    <t>Alþjóðleg friðargæsla (15%)</t>
  </si>
  <si>
    <t>Vergar þjóðartekjur (í milljónum króna)</t>
  </si>
  <si>
    <t>Rekstrarkostnaður aðalskrifstofu</t>
  </si>
  <si>
    <t xml:space="preserve">UNRWA </t>
  </si>
  <si>
    <t>DPKO</t>
  </si>
  <si>
    <t>NATO</t>
  </si>
  <si>
    <t>UNFPA - Verkefni</t>
  </si>
  <si>
    <t>UNHCR - Neyðaraðstoð</t>
  </si>
  <si>
    <t>WFP - Rammasamningur 2017-2020</t>
  </si>
  <si>
    <r>
      <t xml:space="preserve">Þróunarsjóðir á sviði landgrunns- og hafréttar </t>
    </r>
    <r>
      <rPr>
        <sz val="8"/>
        <rFont val="Helvetica"/>
      </rPr>
      <t>(DOALOS)</t>
    </r>
  </si>
  <si>
    <t>Samhyggð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</si>
</sst>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26" x14ac:knownFonts="1">
    <font>
      <sz val="10"/>
      <name val="Arial"/>
    </font>
    <font>
      <b/>
      <sz val="8"/>
      <name val="Helvetica"/>
    </font>
    <font>
      <sz val="8"/>
      <name val="Helvetica"/>
    </font>
    <font>
      <b/>
      <sz val="10"/>
      <name val="Helvetica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1E00FE"/>
      <name val="Helvetica"/>
    </font>
    <font>
      <sz val="10"/>
      <color rgb="FF1E00FE"/>
      <name val="Helvetica"/>
    </font>
    <font>
      <b/>
      <sz val="10"/>
      <color rgb="FF007E0C"/>
      <name val="Helvetica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007E0C"/>
      <name val="Times New Roman"/>
      <family val="1"/>
    </font>
    <font>
      <b/>
      <sz val="8"/>
      <color rgb="FF1E00FE"/>
      <name val="Times New Roman"/>
      <family val="1"/>
    </font>
    <font>
      <b/>
      <sz val="8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Helvetica"/>
    </font>
    <font>
      <b/>
      <sz val="11"/>
      <name val="Helvetica"/>
    </font>
    <font>
      <b/>
      <sz val="14"/>
      <name val="Helvetica"/>
    </font>
    <font>
      <sz val="9"/>
      <name val="Helvetica"/>
    </font>
    <font>
      <sz val="9"/>
      <color rgb="FF1E00FE"/>
      <name val="Helvetica"/>
    </font>
    <font>
      <b/>
      <sz val="9"/>
      <color rgb="FF007E0C"/>
      <name val="Helvetica"/>
    </font>
    <font>
      <b/>
      <i/>
      <sz val="9"/>
      <name val="Helvetica"/>
    </font>
    <font>
      <b/>
      <sz val="11"/>
      <color rgb="FF007E0C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Border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right"/>
    </xf>
    <xf numFmtId="4" fontId="3" fillId="3" borderId="9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0" fontId="6" fillId="2" borderId="5" xfId="0" applyFont="1" applyFill="1" applyBorder="1"/>
    <xf numFmtId="164" fontId="7" fillId="2" borderId="5" xfId="0" applyNumberFormat="1" applyFont="1" applyFill="1" applyBorder="1"/>
    <xf numFmtId="164" fontId="6" fillId="3" borderId="6" xfId="0" applyNumberFormat="1" applyFont="1" applyFill="1" applyBorder="1"/>
    <xf numFmtId="0" fontId="6" fillId="3" borderId="5" xfId="0" applyFont="1" applyFill="1" applyBorder="1"/>
    <xf numFmtId="164" fontId="7" fillId="3" borderId="5" xfId="0" applyNumberFormat="1" applyFont="1" applyFill="1" applyBorder="1" applyAlignment="1">
      <alignment horizontal="right"/>
    </xf>
    <xf numFmtId="165" fontId="6" fillId="2" borderId="7" xfId="0" applyNumberFormat="1" applyFont="1" applyFill="1" applyBorder="1"/>
    <xf numFmtId="164" fontId="7" fillId="2" borderId="7" xfId="0" applyNumberFormat="1" applyFont="1" applyFill="1" applyBorder="1"/>
    <xf numFmtId="164" fontId="6" fillId="3" borderId="8" xfId="0" applyNumberFormat="1" applyFont="1" applyFill="1" applyBorder="1"/>
    <xf numFmtId="0" fontId="8" fillId="2" borderId="3" xfId="0" applyFont="1" applyFill="1" applyBorder="1"/>
    <xf numFmtId="164" fontId="8" fillId="2" borderId="3" xfId="0" applyNumberFormat="1" applyFont="1" applyFill="1" applyBorder="1"/>
    <xf numFmtId="164" fontId="8" fillId="3" borderId="4" xfId="0" applyNumberFormat="1" applyFont="1" applyFill="1" applyBorder="1"/>
    <xf numFmtId="3" fontId="0" fillId="0" borderId="0" xfId="0" applyNumberFormat="1" applyFont="1"/>
    <xf numFmtId="164" fontId="1" fillId="2" borderId="3" xfId="0" applyNumberFormat="1" applyFont="1" applyFill="1" applyBorder="1"/>
    <xf numFmtId="4" fontId="3" fillId="2" borderId="0" xfId="0" applyNumberFormat="1" applyFont="1" applyFill="1" applyBorder="1"/>
    <xf numFmtId="0" fontId="2" fillId="0" borderId="10" xfId="0" applyFont="1" applyBorder="1"/>
    <xf numFmtId="164" fontId="8" fillId="4" borderId="4" xfId="0" applyNumberFormat="1" applyFont="1" applyFill="1" applyBorder="1"/>
    <xf numFmtId="164" fontId="6" fillId="4" borderId="6" xfId="0" applyNumberFormat="1" applyFont="1" applyFill="1" applyBorder="1"/>
    <xf numFmtId="164" fontId="6" fillId="4" borderId="8" xfId="0" applyNumberFormat="1" applyFont="1" applyFill="1" applyBorder="1"/>
    <xf numFmtId="4" fontId="2" fillId="4" borderId="2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164" fontId="6" fillId="0" borderId="8" xfId="0" applyNumberFormat="1" applyFont="1" applyFill="1" applyBorder="1"/>
    <xf numFmtId="164" fontId="8" fillId="0" borderId="4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6" fillId="0" borderId="6" xfId="0" applyNumberFormat="1" applyFont="1" applyFill="1" applyBorder="1"/>
    <xf numFmtId="3" fontId="2" fillId="0" borderId="0" xfId="0" applyNumberFormat="1" applyFont="1" applyFill="1" applyBorder="1"/>
    <xf numFmtId="165" fontId="0" fillId="0" borderId="0" xfId="1" applyNumberFormat="1" applyFont="1" applyFill="1"/>
    <xf numFmtId="164" fontId="2" fillId="0" borderId="0" xfId="0" applyNumberFormat="1" applyFont="1" applyFill="1" applyBorder="1"/>
    <xf numFmtId="4" fontId="3" fillId="3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21" fillId="2" borderId="10" xfId="0" applyFont="1" applyFill="1" applyBorder="1"/>
    <xf numFmtId="164" fontId="21" fillId="2" borderId="10" xfId="0" applyNumberFormat="1" applyFont="1" applyFill="1" applyBorder="1"/>
    <xf numFmtId="164" fontId="21" fillId="4" borderId="11" xfId="0" applyNumberFormat="1" applyFont="1" applyFill="1" applyBorder="1"/>
    <xf numFmtId="164" fontId="21" fillId="3" borderId="11" xfId="0" applyNumberFormat="1" applyFont="1" applyFill="1" applyBorder="1"/>
    <xf numFmtId="164" fontId="21" fillId="0" borderId="11" xfId="0" applyNumberFormat="1" applyFont="1" applyFill="1" applyBorder="1"/>
    <xf numFmtId="0" fontId="21" fillId="0" borderId="0" xfId="0" applyFont="1" applyBorder="1"/>
    <xf numFmtId="0" fontId="3" fillId="2" borderId="10" xfId="0" applyFont="1" applyFill="1" applyBorder="1"/>
    <xf numFmtId="164" fontId="3" fillId="2" borderId="10" xfId="0" applyNumberFormat="1" applyFont="1" applyFill="1" applyBorder="1"/>
    <xf numFmtId="0" fontId="3" fillId="0" borderId="0" xfId="0" applyFont="1" applyBorder="1"/>
    <xf numFmtId="10" fontId="3" fillId="4" borderId="11" xfId="1" applyNumberFormat="1" applyFont="1" applyFill="1" applyBorder="1"/>
    <xf numFmtId="10" fontId="3" fillId="3" borderId="11" xfId="1" applyNumberFormat="1" applyFont="1" applyFill="1" applyBorder="1"/>
    <xf numFmtId="10" fontId="3" fillId="0" borderId="11" xfId="1" applyNumberFormat="1" applyFont="1" applyFill="1" applyBorder="1"/>
    <xf numFmtId="0" fontId="21" fillId="2" borderId="0" xfId="0" applyFont="1" applyFill="1" applyBorder="1" applyAlignment="1">
      <alignment horizontal="right"/>
    </xf>
    <xf numFmtId="164" fontId="21" fillId="2" borderId="10" xfId="0" applyNumberFormat="1" applyFont="1" applyFill="1" applyBorder="1" applyAlignment="1">
      <alignment horizontal="left"/>
    </xf>
    <xf numFmtId="0" fontId="21" fillId="2" borderId="0" xfId="0" applyFont="1" applyFill="1" applyBorder="1"/>
    <xf numFmtId="0" fontId="21" fillId="0" borderId="0" xfId="0" applyFont="1" applyBorder="1" applyAlignment="1">
      <alignment horizontal="right"/>
    </xf>
    <xf numFmtId="165" fontId="21" fillId="2" borderId="10" xfId="0" applyNumberFormat="1" applyFont="1" applyFill="1" applyBorder="1"/>
    <xf numFmtId="165" fontId="21" fillId="2" borderId="10" xfId="0" applyNumberFormat="1" applyFont="1" applyFill="1" applyBorder="1" applyAlignment="1">
      <alignment horizontal="left"/>
    </xf>
    <xf numFmtId="164" fontId="22" fillId="2" borderId="7" xfId="0" applyNumberFormat="1" applyFont="1" applyFill="1" applyBorder="1"/>
    <xf numFmtId="164" fontId="21" fillId="2" borderId="10" xfId="0" applyNumberFormat="1" applyFont="1" applyFill="1" applyBorder="1" applyAlignment="1">
      <alignment horizontal="right"/>
    </xf>
    <xf numFmtId="164" fontId="21" fillId="4" borderId="11" xfId="0" applyNumberFormat="1" applyFont="1" applyFill="1" applyBorder="1" applyAlignment="1">
      <alignment horizontal="center"/>
    </xf>
    <xf numFmtId="0" fontId="21" fillId="2" borderId="5" xfId="0" applyFont="1" applyFill="1" applyBorder="1"/>
    <xf numFmtId="164" fontId="23" fillId="2" borderId="5" xfId="0" applyNumberFormat="1" applyFont="1" applyFill="1" applyBorder="1"/>
    <xf numFmtId="164" fontId="21" fillId="4" borderId="6" xfId="0" applyNumberFormat="1" applyFont="1" applyFill="1" applyBorder="1"/>
    <xf numFmtId="164" fontId="21" fillId="3" borderId="6" xfId="0" applyNumberFormat="1" applyFont="1" applyFill="1" applyBorder="1"/>
    <xf numFmtId="164" fontId="21" fillId="0" borderId="6" xfId="0" applyNumberFormat="1" applyFont="1" applyFill="1" applyBorder="1"/>
    <xf numFmtId="0" fontId="21" fillId="2" borderId="7" xfId="0" applyFont="1" applyFill="1" applyBorder="1"/>
    <xf numFmtId="164" fontId="21" fillId="2" borderId="7" xfId="0" applyNumberFormat="1" applyFont="1" applyFill="1" applyBorder="1"/>
    <xf numFmtId="164" fontId="21" fillId="4" borderId="8" xfId="0" applyNumberFormat="1" applyFont="1" applyFill="1" applyBorder="1"/>
    <xf numFmtId="164" fontId="21" fillId="0" borderId="8" xfId="0" applyNumberFormat="1" applyFont="1" applyFill="1" applyBorder="1"/>
    <xf numFmtId="164" fontId="21" fillId="3" borderId="8" xfId="0" applyNumberFormat="1" applyFont="1" applyFill="1" applyBorder="1"/>
    <xf numFmtId="0" fontId="21" fillId="0" borderId="10" xfId="0" applyFont="1" applyBorder="1"/>
    <xf numFmtId="164" fontId="24" fillId="4" borderId="11" xfId="0" applyNumberFormat="1" applyFont="1" applyFill="1" applyBorder="1"/>
    <xf numFmtId="164" fontId="24" fillId="3" borderId="11" xfId="0" applyNumberFormat="1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5" fillId="2" borderId="3" xfId="0" applyFont="1" applyFill="1" applyBorder="1"/>
    <xf numFmtId="164" fontId="19" fillId="2" borderId="3" xfId="0" applyNumberFormat="1" applyFont="1" applyFill="1" applyBorder="1"/>
    <xf numFmtId="164" fontId="25" fillId="2" borderId="3" xfId="0" applyNumberFormat="1" applyFont="1" applyFill="1" applyBorder="1"/>
    <xf numFmtId="164" fontId="25" fillId="4" borderId="4" xfId="0" applyNumberFormat="1" applyFont="1" applyFill="1" applyBorder="1"/>
    <xf numFmtId="164" fontId="25" fillId="3" borderId="4" xfId="0" applyNumberFormat="1" applyFont="1" applyFill="1" applyBorder="1"/>
    <xf numFmtId="164" fontId="25" fillId="0" borderId="4" xfId="0" applyNumberFormat="1" applyFont="1" applyFill="1" applyBorder="1"/>
    <xf numFmtId="3" fontId="18" fillId="4" borderId="4" xfId="0" applyNumberFormat="1" applyFont="1" applyFill="1" applyBorder="1" applyAlignment="1"/>
    <xf numFmtId="3" fontId="18" fillId="3" borderId="4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007E0C"/>
      <color rgb="FF1E00FE"/>
      <color rgb="FF007E39"/>
      <color rgb="FF009242"/>
      <color rgb="FF006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9"/>
  <sheetViews>
    <sheetView tabSelected="1" topLeftCell="A85" zoomScale="90" zoomScaleNormal="90" workbookViewId="0">
      <selection activeCell="C107" sqref="C107"/>
    </sheetView>
  </sheetViews>
  <sheetFormatPr defaultColWidth="9.140625" defaultRowHeight="11.25" x14ac:dyDescent="0.2"/>
  <cols>
    <col min="1" max="1" width="17.28515625" style="2" customWidth="1"/>
    <col min="2" max="2" width="7.140625" style="2" customWidth="1"/>
    <col min="3" max="3" width="37.28515625" style="2" customWidth="1"/>
    <col min="4" max="5" width="10" style="2" customWidth="1"/>
    <col min="6" max="7" width="10.85546875" style="2" customWidth="1"/>
    <col min="8" max="8" width="10.85546875" style="2" bestFit="1" customWidth="1"/>
    <col min="9" max="10" width="10.85546875" style="2" customWidth="1"/>
    <col min="11" max="12" width="10.85546875" style="1" bestFit="1" customWidth="1"/>
    <col min="13" max="15" width="10.85546875" style="1" customWidth="1"/>
    <col min="16" max="16384" width="9.140625" style="2"/>
  </cols>
  <sheetData>
    <row r="1" spans="1:17" ht="30.75" customHeight="1" x14ac:dyDescent="0.25">
      <c r="A1" s="101" t="s">
        <v>0</v>
      </c>
      <c r="B1" s="101"/>
      <c r="C1" s="101"/>
      <c r="D1" s="101"/>
      <c r="E1" s="101"/>
      <c r="F1" s="101"/>
      <c r="G1" s="101"/>
      <c r="H1" s="54"/>
      <c r="I1" s="3"/>
      <c r="P1" s="1"/>
      <c r="Q1" s="1"/>
    </row>
    <row r="2" spans="1:17" ht="3.75" customHeight="1" thickBot="1" x14ac:dyDescent="0.25">
      <c r="A2" s="4"/>
      <c r="B2" s="4"/>
      <c r="C2" s="4"/>
      <c r="D2" s="4"/>
      <c r="E2" s="3"/>
      <c r="F2" s="4"/>
      <c r="G2" s="3"/>
      <c r="H2" s="3"/>
      <c r="I2" s="3"/>
      <c r="P2" s="1"/>
      <c r="Q2" s="1"/>
    </row>
    <row r="3" spans="1:17" ht="12.75" customHeight="1" x14ac:dyDescent="0.2">
      <c r="A3" s="5" t="s">
        <v>1</v>
      </c>
      <c r="B3" s="6"/>
      <c r="C3" s="6"/>
      <c r="D3" s="89">
        <v>2006</v>
      </c>
      <c r="E3" s="90">
        <v>2007</v>
      </c>
      <c r="F3" s="89">
        <v>2008</v>
      </c>
      <c r="G3" s="90">
        <v>2009</v>
      </c>
      <c r="H3" s="89">
        <v>2010</v>
      </c>
      <c r="I3" s="90">
        <v>2011</v>
      </c>
      <c r="J3" s="89">
        <v>2012</v>
      </c>
      <c r="K3" s="90">
        <v>2013</v>
      </c>
      <c r="L3" s="89">
        <v>2014</v>
      </c>
      <c r="M3" s="90">
        <v>2015</v>
      </c>
      <c r="N3" s="89">
        <v>2016</v>
      </c>
      <c r="O3" s="90">
        <v>2017</v>
      </c>
      <c r="P3" s="34"/>
      <c r="Q3" s="34"/>
    </row>
    <row r="4" spans="1:17" ht="25.5" customHeight="1" thickBot="1" x14ac:dyDescent="0.25">
      <c r="A4" s="18" t="s">
        <v>90</v>
      </c>
      <c r="B4" s="19"/>
      <c r="C4" s="19"/>
      <c r="D4" s="25">
        <f t="shared" ref="D4:N4" si="0">D16+D5</f>
        <v>1627.3</v>
      </c>
      <c r="E4" s="20">
        <f t="shared" si="0"/>
        <v>1726.2</v>
      </c>
      <c r="F4" s="25">
        <f t="shared" si="0"/>
        <v>2541.7000000000003</v>
      </c>
      <c r="G4" s="20">
        <f t="shared" si="0"/>
        <v>2078.83</v>
      </c>
      <c r="H4" s="25">
        <f t="shared" si="0"/>
        <v>1764.1213140000002</v>
      </c>
      <c r="I4" s="20">
        <f t="shared" si="0"/>
        <v>1331.4044099999999</v>
      </c>
      <c r="J4" s="25">
        <f t="shared" si="0"/>
        <v>1399.6445425500001</v>
      </c>
      <c r="K4" s="32">
        <f t="shared" si="0"/>
        <v>1916.7336919999998</v>
      </c>
      <c r="L4" s="25">
        <f t="shared" si="0"/>
        <v>1761.9586452399999</v>
      </c>
      <c r="M4" s="32">
        <f t="shared" si="0"/>
        <v>1862.9636559999999</v>
      </c>
      <c r="N4" s="25">
        <f t="shared" si="0"/>
        <v>1797.4299999999998</v>
      </c>
      <c r="O4" s="32">
        <f t="shared" ref="O4" si="1">O16+O5</f>
        <v>1553.3</v>
      </c>
      <c r="P4" s="35"/>
      <c r="Q4" s="35"/>
    </row>
    <row r="5" spans="1:17" ht="16.5" customHeight="1" x14ac:dyDescent="0.2">
      <c r="A5" s="10" t="s">
        <v>192</v>
      </c>
      <c r="B5" s="11"/>
      <c r="C5" s="11"/>
      <c r="D5" s="26">
        <f>SUM(D6:D15)</f>
        <v>1026.5999999999999</v>
      </c>
      <c r="E5" s="12">
        <f>SUM(E6:E15)</f>
        <v>1116</v>
      </c>
      <c r="F5" s="26">
        <f>SUM(F6:F15)</f>
        <v>1959.6000000000001</v>
      </c>
      <c r="G5" s="12">
        <f>SUM(G6:G15)</f>
        <v>1746.5</v>
      </c>
      <c r="H5" s="26">
        <f t="shared" ref="H5:N5" si="2">SUM(H6:H15)</f>
        <v>1418.0276600000002</v>
      </c>
      <c r="I5" s="12">
        <f t="shared" si="2"/>
        <v>1160.8522229999999</v>
      </c>
      <c r="J5" s="26">
        <f t="shared" si="2"/>
        <v>1247.116293</v>
      </c>
      <c r="K5" s="47">
        <f t="shared" si="2"/>
        <v>1772.7551879999999</v>
      </c>
      <c r="L5" s="26">
        <f t="shared" si="2"/>
        <v>1594.573218</v>
      </c>
      <c r="M5" s="47">
        <f t="shared" si="2"/>
        <v>1669.5526769999999</v>
      </c>
      <c r="N5" s="26">
        <f t="shared" si="2"/>
        <v>1603.8</v>
      </c>
      <c r="O5" s="47">
        <f t="shared" ref="O5" si="3">SUM(O6:O15)</f>
        <v>1369.8</v>
      </c>
      <c r="P5" s="36"/>
      <c r="Q5" s="36"/>
    </row>
    <row r="6" spans="1:17" ht="12.75" customHeight="1" x14ac:dyDescent="0.2">
      <c r="A6" s="67" t="s">
        <v>2</v>
      </c>
      <c r="B6" s="56" t="s">
        <v>3</v>
      </c>
      <c r="C6" s="56"/>
      <c r="D6" s="57">
        <v>260.3</v>
      </c>
      <c r="E6" s="58">
        <v>294.8</v>
      </c>
      <c r="F6" s="57">
        <v>451.7</v>
      </c>
      <c r="G6" s="58">
        <v>396.4</v>
      </c>
      <c r="H6" s="57">
        <v>321.18047300000001</v>
      </c>
      <c r="I6" s="58">
        <v>265.84177599999998</v>
      </c>
      <c r="J6" s="57">
        <v>352.28558600000002</v>
      </c>
      <c r="K6" s="58">
        <v>632.32923800000003</v>
      </c>
      <c r="L6" s="57">
        <v>578.51620800000001</v>
      </c>
      <c r="M6" s="58">
        <v>527.84966099999997</v>
      </c>
      <c r="N6" s="57">
        <v>519.9</v>
      </c>
      <c r="O6" s="58">
        <v>400.4</v>
      </c>
      <c r="P6" s="37"/>
      <c r="Q6" s="37"/>
    </row>
    <row r="7" spans="1:17" ht="12.75" customHeight="1" x14ac:dyDescent="0.2">
      <c r="A7" s="69"/>
      <c r="B7" s="56" t="s">
        <v>4</v>
      </c>
      <c r="C7" s="56"/>
      <c r="D7" s="57">
        <v>176</v>
      </c>
      <c r="E7" s="58">
        <v>230.9</v>
      </c>
      <c r="F7" s="57">
        <v>314.8</v>
      </c>
      <c r="G7" s="58">
        <v>203.2</v>
      </c>
      <c r="H7" s="57">
        <v>233.590934</v>
      </c>
      <c r="I7" s="58">
        <v>265.74421100000001</v>
      </c>
      <c r="J7" s="57">
        <v>286.81240300000002</v>
      </c>
      <c r="K7" s="58">
        <v>345.22809100000001</v>
      </c>
      <c r="L7" s="57">
        <v>320.52360299999998</v>
      </c>
      <c r="M7" s="58">
        <v>424.64728700000001</v>
      </c>
      <c r="N7" s="57">
        <v>357.8</v>
      </c>
      <c r="O7" s="58">
        <v>304.60000000000002</v>
      </c>
      <c r="P7" s="37"/>
      <c r="Q7" s="37"/>
    </row>
    <row r="8" spans="1:17" ht="12.75" customHeight="1" x14ac:dyDescent="0.2">
      <c r="A8" s="69"/>
      <c r="B8" s="56" t="s">
        <v>5</v>
      </c>
      <c r="C8" s="56"/>
      <c r="D8" s="57">
        <v>141</v>
      </c>
      <c r="E8" s="58">
        <v>102.6</v>
      </c>
      <c r="F8" s="57">
        <v>232.1</v>
      </c>
      <c r="G8" s="58">
        <v>290.10000000000002</v>
      </c>
      <c r="H8" s="57">
        <v>249.18184500000001</v>
      </c>
      <c r="I8" s="58">
        <v>60.496482999999998</v>
      </c>
      <c r="J8" s="57"/>
      <c r="K8" s="58"/>
      <c r="L8" s="57"/>
      <c r="M8" s="58"/>
      <c r="N8" s="57"/>
      <c r="O8" s="58"/>
      <c r="P8" s="37"/>
      <c r="Q8" s="52"/>
    </row>
    <row r="9" spans="1:17" ht="12.75" customHeight="1" x14ac:dyDescent="0.2">
      <c r="A9" s="69"/>
      <c r="B9" s="56" t="s">
        <v>6</v>
      </c>
      <c r="C9" s="56"/>
      <c r="D9" s="57">
        <v>159.1</v>
      </c>
      <c r="E9" s="58">
        <v>160.9</v>
      </c>
      <c r="F9" s="57">
        <v>282.10000000000002</v>
      </c>
      <c r="G9" s="58">
        <v>373.8</v>
      </c>
      <c r="H9" s="57">
        <v>340.03412800000001</v>
      </c>
      <c r="I9" s="58">
        <v>339.96581800000001</v>
      </c>
      <c r="J9" s="57">
        <v>359.378422</v>
      </c>
      <c r="K9" s="58">
        <v>488.246241</v>
      </c>
      <c r="L9" s="57">
        <v>362.50336800000002</v>
      </c>
      <c r="M9" s="58">
        <v>442.97844300000003</v>
      </c>
      <c r="N9" s="57">
        <v>554.29999999999995</v>
      </c>
      <c r="O9" s="58">
        <v>521.20000000000005</v>
      </c>
      <c r="P9" s="37"/>
      <c r="Q9" s="37"/>
    </row>
    <row r="10" spans="1:17" ht="12.75" customHeight="1" x14ac:dyDescent="0.2">
      <c r="A10" s="69"/>
      <c r="B10" s="56" t="s">
        <v>7</v>
      </c>
      <c r="C10" s="56"/>
      <c r="D10" s="57">
        <v>78.7</v>
      </c>
      <c r="E10" s="58">
        <v>78.7</v>
      </c>
      <c r="F10" s="57">
        <v>191.5</v>
      </c>
      <c r="G10" s="58">
        <v>92.2</v>
      </c>
      <c r="H10" s="57"/>
      <c r="I10" s="58"/>
      <c r="J10" s="57"/>
      <c r="K10" s="58"/>
      <c r="L10" s="57"/>
      <c r="M10" s="58"/>
      <c r="N10" s="57"/>
      <c r="O10" s="58"/>
      <c r="P10" s="37"/>
      <c r="Q10" s="37"/>
    </row>
    <row r="11" spans="1:17" ht="12.75" customHeight="1" x14ac:dyDescent="0.2">
      <c r="A11" s="69"/>
      <c r="B11" s="56" t="s">
        <v>8</v>
      </c>
      <c r="C11" s="56"/>
      <c r="D11" s="57">
        <v>71.3</v>
      </c>
      <c r="E11" s="58">
        <v>72</v>
      </c>
      <c r="F11" s="57">
        <v>196.2</v>
      </c>
      <c r="G11" s="58">
        <v>188.6</v>
      </c>
      <c r="H11" s="57">
        <v>88.363157999999999</v>
      </c>
      <c r="I11" s="58">
        <v>79.503934999999998</v>
      </c>
      <c r="J11" s="57">
        <v>69.512724000000006</v>
      </c>
      <c r="K11" s="58"/>
      <c r="L11" s="57"/>
      <c r="M11" s="58"/>
      <c r="N11" s="57"/>
      <c r="O11" s="58"/>
      <c r="P11" s="52"/>
      <c r="Q11" s="52"/>
    </row>
    <row r="12" spans="1:17" ht="12.75" customHeight="1" x14ac:dyDescent="0.2">
      <c r="A12" s="69"/>
      <c r="B12" s="56" t="s">
        <v>118</v>
      </c>
      <c r="C12" s="56"/>
      <c r="D12" s="57"/>
      <c r="E12" s="58"/>
      <c r="F12" s="57"/>
      <c r="G12" s="58"/>
      <c r="H12" s="57">
        <v>34.377122</v>
      </c>
      <c r="I12" s="58"/>
      <c r="J12" s="57"/>
      <c r="K12" s="58"/>
      <c r="L12" s="57"/>
      <c r="M12" s="58"/>
      <c r="N12" s="57"/>
      <c r="O12" s="58"/>
      <c r="P12" s="37"/>
      <c r="Q12" s="37"/>
    </row>
    <row r="13" spans="1:17" ht="12.75" customHeight="1" x14ac:dyDescent="0.2">
      <c r="A13" s="69"/>
      <c r="B13" s="56" t="s">
        <v>140</v>
      </c>
      <c r="C13" s="56"/>
      <c r="D13" s="57"/>
      <c r="E13" s="58"/>
      <c r="F13" s="57"/>
      <c r="G13" s="58"/>
      <c r="H13" s="57"/>
      <c r="I13" s="58">
        <v>15.7</v>
      </c>
      <c r="J13" s="57">
        <v>39.780110999999998</v>
      </c>
      <c r="K13" s="58">
        <f>204.340279-67.990751</f>
        <v>136.34952800000002</v>
      </c>
      <c r="L13" s="57">
        <v>200.108664</v>
      </c>
      <c r="M13" s="58">
        <f>123.772356+10.004752</f>
        <v>133.777108</v>
      </c>
      <c r="N13" s="57">
        <v>155.19999999999999</v>
      </c>
      <c r="O13" s="58">
        <v>129.80000000000001</v>
      </c>
      <c r="P13" s="37"/>
      <c r="Q13" s="37"/>
    </row>
    <row r="14" spans="1:17" ht="12.75" customHeight="1" x14ac:dyDescent="0.2">
      <c r="A14" s="69"/>
      <c r="B14" s="56" t="s">
        <v>141</v>
      </c>
      <c r="C14" s="56"/>
      <c r="D14" s="57">
        <v>52.6</v>
      </c>
      <c r="E14" s="58">
        <v>62.5</v>
      </c>
      <c r="F14" s="57">
        <v>151.9</v>
      </c>
      <c r="G14" s="58">
        <v>85</v>
      </c>
      <c r="H14" s="57">
        <v>26.7</v>
      </c>
      <c r="I14" s="58">
        <v>12.1</v>
      </c>
      <c r="J14" s="57">
        <v>13.464821000000001</v>
      </c>
      <c r="K14" s="58">
        <v>32.806265000000003</v>
      </c>
      <c r="L14" s="57">
        <v>18.736062</v>
      </c>
      <c r="M14" s="58">
        <v>17.877034999999999</v>
      </c>
      <c r="N14" s="57">
        <v>16.600000000000001</v>
      </c>
      <c r="O14" s="58">
        <v>13.8</v>
      </c>
      <c r="P14" s="37"/>
      <c r="Q14" s="37"/>
    </row>
    <row r="15" spans="1:17" ht="12.75" customHeight="1" x14ac:dyDescent="0.2">
      <c r="A15" s="69"/>
      <c r="B15" s="56" t="s">
        <v>196</v>
      </c>
      <c r="C15" s="56"/>
      <c r="D15" s="57">
        <v>87.6</v>
      </c>
      <c r="E15" s="58">
        <v>113.6</v>
      </c>
      <c r="F15" s="57">
        <v>139.30000000000001</v>
      </c>
      <c r="G15" s="58">
        <v>117.2</v>
      </c>
      <c r="H15" s="57">
        <v>124.6</v>
      </c>
      <c r="I15" s="58">
        <v>121.5</v>
      </c>
      <c r="J15" s="57">
        <v>125.882226</v>
      </c>
      <c r="K15" s="58">
        <v>137.79582500000001</v>
      </c>
      <c r="L15" s="57">
        <v>114.18531299999999</v>
      </c>
      <c r="M15" s="58">
        <v>122.423143</v>
      </c>
      <c r="N15" s="57"/>
      <c r="O15" s="58"/>
      <c r="P15" s="38"/>
      <c r="Q15" s="38"/>
    </row>
    <row r="16" spans="1:17" ht="26.25" customHeight="1" thickBot="1" x14ac:dyDescent="0.25">
      <c r="A16" s="18" t="s">
        <v>10</v>
      </c>
      <c r="B16" s="19"/>
      <c r="C16" s="19"/>
      <c r="D16" s="25">
        <f>SUM(D17:D30)+D32</f>
        <v>600.70000000000005</v>
      </c>
      <c r="E16" s="20">
        <f>SUM(E17:E30)+E32</f>
        <v>610.20000000000005</v>
      </c>
      <c r="F16" s="25">
        <f>SUM(F17:F30)+F32</f>
        <v>582.1</v>
      </c>
      <c r="G16" s="20">
        <f t="shared" ref="G16:O16" si="4">SUM(G18:G30)+G32</f>
        <v>332.33000000000004</v>
      </c>
      <c r="H16" s="25">
        <f t="shared" si="4"/>
        <v>346.09365400000002</v>
      </c>
      <c r="I16" s="20">
        <f t="shared" si="4"/>
        <v>170.552187</v>
      </c>
      <c r="J16" s="25">
        <f t="shared" si="4"/>
        <v>152.52824955000003</v>
      </c>
      <c r="K16" s="32">
        <f t="shared" si="4"/>
        <v>143.97850399999999</v>
      </c>
      <c r="L16" s="25">
        <f t="shared" si="4"/>
        <v>167.38542723999998</v>
      </c>
      <c r="M16" s="32">
        <f t="shared" si="4"/>
        <v>193.41097900000003</v>
      </c>
      <c r="N16" s="25">
        <f t="shared" si="4"/>
        <v>193.63</v>
      </c>
      <c r="O16" s="32">
        <f t="shared" si="4"/>
        <v>183.5</v>
      </c>
      <c r="P16" s="37"/>
      <c r="Q16" s="37"/>
    </row>
    <row r="17" spans="1:17" ht="12.75" customHeight="1" x14ac:dyDescent="0.2">
      <c r="A17" s="67" t="s">
        <v>2</v>
      </c>
      <c r="B17" s="55" t="s">
        <v>127</v>
      </c>
      <c r="C17" s="55"/>
      <c r="D17" s="57">
        <v>590.5</v>
      </c>
      <c r="E17" s="58">
        <v>600.6</v>
      </c>
      <c r="F17" s="57">
        <v>567.9</v>
      </c>
      <c r="G17" s="58">
        <f t="shared" ref="G17:N17" si="5">SUM(G18:G30)</f>
        <v>316.70600000000002</v>
      </c>
      <c r="H17" s="57">
        <f t="shared" si="5"/>
        <v>329.09365400000002</v>
      </c>
      <c r="I17" s="59">
        <f t="shared" si="5"/>
        <v>150.968187</v>
      </c>
      <c r="J17" s="57">
        <f t="shared" si="5"/>
        <v>137.00726400000002</v>
      </c>
      <c r="K17" s="59">
        <f t="shared" si="5"/>
        <v>121.12256699999999</v>
      </c>
      <c r="L17" s="57">
        <f t="shared" si="5"/>
        <v>151.36283799999998</v>
      </c>
      <c r="M17" s="59">
        <f t="shared" si="5"/>
        <v>171.05297900000002</v>
      </c>
      <c r="N17" s="57">
        <f t="shared" si="5"/>
        <v>146.19999999999999</v>
      </c>
      <c r="O17" s="59">
        <f>SUM(O18:O31)</f>
        <v>166.9</v>
      </c>
      <c r="P17" s="37"/>
      <c r="Q17" s="37"/>
    </row>
    <row r="18" spans="1:17" ht="12.75" customHeight="1" x14ac:dyDescent="0.2">
      <c r="A18" s="69"/>
      <c r="B18" s="70" t="s">
        <v>2</v>
      </c>
      <c r="C18" s="56" t="s">
        <v>63</v>
      </c>
      <c r="D18" s="57"/>
      <c r="E18" s="58"/>
      <c r="F18" s="57"/>
      <c r="G18" s="58">
        <v>34.5</v>
      </c>
      <c r="H18" s="57">
        <v>40.523226999999999</v>
      </c>
      <c r="I18" s="59">
        <f>38.902169+0.431171</f>
        <v>39.33334</v>
      </c>
      <c r="J18" s="57">
        <f>30.889173+1.802827</f>
        <v>32.692</v>
      </c>
      <c r="K18" s="59">
        <f>30.167115+0.379499</f>
        <v>30.546613999999998</v>
      </c>
      <c r="L18" s="57">
        <v>32.181659000000003</v>
      </c>
      <c r="M18" s="59">
        <v>70.345072000000002</v>
      </c>
      <c r="N18" s="57">
        <f>44.7+3.3+0.9</f>
        <v>48.9</v>
      </c>
      <c r="O18" s="59">
        <v>45.4</v>
      </c>
      <c r="P18" s="37"/>
      <c r="Q18" s="37"/>
    </row>
    <row r="19" spans="1:17" ht="12.75" customHeight="1" x14ac:dyDescent="0.2">
      <c r="A19" s="69"/>
      <c r="B19" s="69"/>
      <c r="C19" s="56" t="s">
        <v>64</v>
      </c>
      <c r="D19" s="57"/>
      <c r="E19" s="58"/>
      <c r="F19" s="57"/>
      <c r="G19" s="58">
        <v>1.84</v>
      </c>
      <c r="H19" s="57">
        <v>2.1344289999999999</v>
      </c>
      <c r="I19" s="59">
        <v>2.4592969999999998</v>
      </c>
      <c r="J19" s="57">
        <v>2.0711339999999998</v>
      </c>
      <c r="K19" s="59">
        <v>0.56133500000000003</v>
      </c>
      <c r="L19" s="57">
        <v>1.682534</v>
      </c>
      <c r="M19" s="59"/>
      <c r="N19" s="57">
        <v>2.9</v>
      </c>
      <c r="O19" s="59"/>
      <c r="P19" s="37"/>
      <c r="Q19" s="37"/>
    </row>
    <row r="20" spans="1:17" ht="12.75" customHeight="1" x14ac:dyDescent="0.2">
      <c r="A20" s="69"/>
      <c r="B20" s="69"/>
      <c r="C20" s="56" t="s">
        <v>65</v>
      </c>
      <c r="D20" s="57"/>
      <c r="E20" s="58"/>
      <c r="F20" s="57"/>
      <c r="G20" s="58">
        <v>3.35</v>
      </c>
      <c r="H20" s="57">
        <v>7.7681969999999998</v>
      </c>
      <c r="I20" s="59">
        <v>6.3173909999999998</v>
      </c>
      <c r="J20" s="57">
        <v>4.0300710000000004</v>
      </c>
      <c r="K20" s="59">
        <v>4.5423070000000001</v>
      </c>
      <c r="L20" s="57">
        <v>3.6401829999999999</v>
      </c>
      <c r="M20" s="59">
        <v>4.0957619999999997</v>
      </c>
      <c r="N20" s="57">
        <v>4.5999999999999996</v>
      </c>
      <c r="O20" s="59">
        <v>3.7</v>
      </c>
      <c r="P20" s="37"/>
      <c r="Q20" s="37"/>
    </row>
    <row r="21" spans="1:17" ht="12.75" customHeight="1" x14ac:dyDescent="0.2">
      <c r="A21" s="69"/>
      <c r="B21" s="69"/>
      <c r="C21" s="56" t="s">
        <v>66</v>
      </c>
      <c r="D21" s="57"/>
      <c r="E21" s="58"/>
      <c r="F21" s="57"/>
      <c r="G21" s="58">
        <v>0.88</v>
      </c>
      <c r="H21" s="57">
        <v>61.751736999999999</v>
      </c>
      <c r="I21" s="59">
        <v>2.103418</v>
      </c>
      <c r="J21" s="57">
        <f>3.211946</f>
        <v>3.2119460000000002</v>
      </c>
      <c r="K21" s="59">
        <v>1.8478209999999999</v>
      </c>
      <c r="L21" s="57">
        <v>3.6004119999999999</v>
      </c>
      <c r="M21" s="59">
        <v>1.964248</v>
      </c>
      <c r="N21" s="57">
        <v>1.7</v>
      </c>
      <c r="O21" s="59">
        <v>1.2</v>
      </c>
      <c r="P21" s="37"/>
      <c r="Q21" s="52"/>
    </row>
    <row r="22" spans="1:17" ht="12.75" customHeight="1" x14ac:dyDescent="0.2">
      <c r="A22" s="69"/>
      <c r="B22" s="69"/>
      <c r="C22" s="56" t="s">
        <v>67</v>
      </c>
      <c r="D22" s="57"/>
      <c r="E22" s="58"/>
      <c r="F22" s="57"/>
      <c r="G22" s="58">
        <v>2.12</v>
      </c>
      <c r="H22" s="57"/>
      <c r="I22" s="59"/>
      <c r="J22" s="57"/>
      <c r="K22" s="59"/>
      <c r="L22" s="57"/>
      <c r="M22" s="59"/>
      <c r="N22" s="57"/>
      <c r="O22" s="59"/>
      <c r="P22" s="37"/>
      <c r="Q22" s="52"/>
    </row>
    <row r="23" spans="1:17" ht="12.75" customHeight="1" x14ac:dyDescent="0.2">
      <c r="A23" s="69"/>
      <c r="B23" s="69"/>
      <c r="C23" s="56" t="s">
        <v>68</v>
      </c>
      <c r="D23" s="57"/>
      <c r="E23" s="58"/>
      <c r="F23" s="57"/>
      <c r="G23" s="58">
        <v>26.04</v>
      </c>
      <c r="H23" s="57">
        <v>42.805646000000003</v>
      </c>
      <c r="I23" s="59">
        <v>0.149757</v>
      </c>
      <c r="J23" s="57"/>
      <c r="K23" s="59"/>
      <c r="L23" s="57"/>
      <c r="M23" s="59"/>
      <c r="N23" s="57"/>
      <c r="O23" s="59"/>
      <c r="P23" s="37"/>
      <c r="Q23" s="52"/>
    </row>
    <row r="24" spans="1:17" ht="12.75" customHeight="1" x14ac:dyDescent="0.2">
      <c r="A24" s="69"/>
      <c r="B24" s="69"/>
      <c r="C24" s="56" t="s">
        <v>69</v>
      </c>
      <c r="D24" s="57"/>
      <c r="E24" s="58"/>
      <c r="F24" s="57"/>
      <c r="G24" s="58">
        <v>51.04</v>
      </c>
      <c r="H24" s="57">
        <v>29.267078000000001</v>
      </c>
      <c r="I24" s="59">
        <v>1.956882</v>
      </c>
      <c r="J24" s="57"/>
      <c r="K24" s="59"/>
      <c r="L24" s="57"/>
      <c r="M24" s="59"/>
      <c r="N24" s="57"/>
      <c r="O24" s="59"/>
      <c r="P24" s="37"/>
      <c r="Q24" s="37"/>
    </row>
    <row r="25" spans="1:17" ht="12.75" customHeight="1" x14ac:dyDescent="0.2">
      <c r="A25" s="69"/>
      <c r="B25" s="69"/>
      <c r="C25" s="56" t="s">
        <v>70</v>
      </c>
      <c r="D25" s="57"/>
      <c r="E25" s="58"/>
      <c r="F25" s="57"/>
      <c r="G25" s="58">
        <v>45.46</v>
      </c>
      <c r="H25" s="57">
        <v>27.853605999999999</v>
      </c>
      <c r="I25" s="59">
        <v>2.08148</v>
      </c>
      <c r="J25" s="57"/>
      <c r="K25" s="59"/>
      <c r="L25" s="57"/>
      <c r="M25" s="59"/>
      <c r="N25" s="57"/>
      <c r="O25" s="59"/>
      <c r="P25" s="37"/>
      <c r="Q25" s="37"/>
    </row>
    <row r="26" spans="1:17" ht="12.75" customHeight="1" x14ac:dyDescent="0.2">
      <c r="A26" s="69"/>
      <c r="B26" s="69"/>
      <c r="C26" s="56" t="s">
        <v>71</v>
      </c>
      <c r="D26" s="57"/>
      <c r="E26" s="58"/>
      <c r="F26" s="57"/>
      <c r="G26" s="58">
        <v>117.907</v>
      </c>
      <c r="H26" s="57">
        <v>116.989734</v>
      </c>
      <c r="I26" s="59">
        <v>96.566621999999995</v>
      </c>
      <c r="J26" s="57">
        <f>80.364557+14.637556</f>
        <v>95.002113000000008</v>
      </c>
      <c r="K26" s="59">
        <v>73.613609999999994</v>
      </c>
      <c r="L26" s="57">
        <v>67.600720999999993</v>
      </c>
      <c r="M26" s="59">
        <f>49.9+11.4</f>
        <v>61.3</v>
      </c>
      <c r="N26" s="57">
        <v>57.9</v>
      </c>
      <c r="O26" s="59">
        <v>43.7</v>
      </c>
      <c r="P26" s="34"/>
      <c r="Q26" s="34"/>
    </row>
    <row r="27" spans="1:17" ht="12.75" customHeight="1" x14ac:dyDescent="0.2">
      <c r="A27" s="69"/>
      <c r="B27" s="69"/>
      <c r="C27" s="56" t="s">
        <v>198</v>
      </c>
      <c r="D27" s="57"/>
      <c r="E27" s="58"/>
      <c r="F27" s="57"/>
      <c r="G27" s="58"/>
      <c r="H27" s="57"/>
      <c r="I27" s="59"/>
      <c r="J27" s="57"/>
      <c r="K27" s="59">
        <v>10.01088</v>
      </c>
      <c r="L27" s="57">
        <v>17.793301</v>
      </c>
      <c r="M27" s="59">
        <v>0.95255699999999999</v>
      </c>
      <c r="N27" s="57"/>
      <c r="O27" s="59"/>
      <c r="P27" s="34"/>
      <c r="Q27" s="34"/>
    </row>
    <row r="28" spans="1:17" ht="12.75" customHeight="1" x14ac:dyDescent="0.2">
      <c r="A28" s="69"/>
      <c r="B28" s="69"/>
      <c r="C28" s="56" t="s">
        <v>199</v>
      </c>
      <c r="D28" s="57"/>
      <c r="E28" s="58"/>
      <c r="F28" s="57"/>
      <c r="G28" s="58"/>
      <c r="H28" s="57"/>
      <c r="I28" s="59"/>
      <c r="J28" s="57"/>
      <c r="K28" s="59"/>
      <c r="L28" s="57">
        <f>24.864028</f>
        <v>24.864028000000001</v>
      </c>
      <c r="M28" s="59">
        <f>32.39534</f>
        <v>32.395339999999997</v>
      </c>
      <c r="N28" s="57">
        <v>30.2</v>
      </c>
      <c r="O28" s="59">
        <v>42</v>
      </c>
      <c r="P28" s="34"/>
      <c r="Q28" s="34"/>
    </row>
    <row r="29" spans="1:17" ht="12.75" customHeight="1" x14ac:dyDescent="0.2">
      <c r="A29" s="69"/>
      <c r="B29" s="69"/>
      <c r="C29" s="56" t="s">
        <v>72</v>
      </c>
      <c r="D29" s="57"/>
      <c r="E29" s="58"/>
      <c r="F29" s="57"/>
      <c r="G29" s="58">
        <v>12.916</v>
      </c>
      <c r="H29" s="57"/>
      <c r="I29" s="59"/>
      <c r="J29" s="57"/>
      <c r="K29" s="59"/>
      <c r="L29" s="57"/>
      <c r="M29" s="59"/>
      <c r="N29" s="57"/>
      <c r="O29" s="59"/>
      <c r="P29" s="34"/>
      <c r="Q29" s="34"/>
    </row>
    <row r="30" spans="1:17" ht="12.75" customHeight="1" x14ac:dyDescent="0.2">
      <c r="A30" s="69"/>
      <c r="B30" s="60"/>
      <c r="C30" s="56" t="s">
        <v>73</v>
      </c>
      <c r="D30" s="57"/>
      <c r="E30" s="58"/>
      <c r="F30" s="57"/>
      <c r="G30" s="58">
        <v>20.652999999999999</v>
      </c>
      <c r="H30" s="57"/>
      <c r="I30" s="58"/>
      <c r="J30" s="57"/>
      <c r="K30" s="58"/>
      <c r="L30" s="57"/>
      <c r="M30" s="58"/>
      <c r="N30" s="57"/>
      <c r="O30" s="58"/>
      <c r="P30" s="38"/>
      <c r="Q30" s="35"/>
    </row>
    <row r="31" spans="1:17" ht="12.75" customHeight="1" x14ac:dyDescent="0.2">
      <c r="A31" s="69"/>
      <c r="B31" s="69"/>
      <c r="C31" s="2" t="s">
        <v>197</v>
      </c>
      <c r="D31" s="57"/>
      <c r="E31" s="58"/>
      <c r="F31" s="57"/>
      <c r="G31" s="58"/>
      <c r="H31" s="57"/>
      <c r="I31" s="58"/>
      <c r="J31" s="57"/>
      <c r="K31" s="58"/>
      <c r="L31" s="57"/>
      <c r="M31" s="58"/>
      <c r="N31" s="57"/>
      <c r="O31" s="58">
        <v>30.9</v>
      </c>
      <c r="P31" s="39"/>
      <c r="Q31" s="39"/>
    </row>
    <row r="32" spans="1:17" ht="12.75" customHeight="1" x14ac:dyDescent="0.2">
      <c r="A32" s="69"/>
      <c r="B32" s="56" t="s">
        <v>194</v>
      </c>
      <c r="C32" s="56"/>
      <c r="D32" s="57">
        <v>10.199999999999999</v>
      </c>
      <c r="E32" s="58">
        <v>9.6</v>
      </c>
      <c r="F32" s="57">
        <v>14.2</v>
      </c>
      <c r="G32" s="58">
        <f>260.4*6%</f>
        <v>15.623999999999999</v>
      </c>
      <c r="H32" s="57">
        <v>17</v>
      </c>
      <c r="I32" s="58">
        <v>19.584</v>
      </c>
      <c r="J32" s="57">
        <v>15.520985550000001</v>
      </c>
      <c r="K32" s="58">
        <v>22.855937000000001</v>
      </c>
      <c r="L32" s="57">
        <v>16.022589239999999</v>
      </c>
      <c r="M32" s="58">
        <f>319.4*0.07</f>
        <v>22.358000000000001</v>
      </c>
      <c r="N32" s="57">
        <v>47.43</v>
      </c>
      <c r="O32" s="58">
        <v>47.5</v>
      </c>
      <c r="P32" s="37"/>
      <c r="Q32" s="37"/>
    </row>
    <row r="33" spans="1:17" ht="26.25" customHeight="1" thickBot="1" x14ac:dyDescent="0.25">
      <c r="A33" s="18" t="s">
        <v>91</v>
      </c>
      <c r="B33" s="19"/>
      <c r="C33" s="19"/>
      <c r="D33" s="25">
        <f>D34+D116+D131</f>
        <v>1034.77</v>
      </c>
      <c r="E33" s="20">
        <f>E34+E116+E131</f>
        <v>774.52</v>
      </c>
      <c r="F33" s="25">
        <f>F34+F116+F131</f>
        <v>957.07400000000007</v>
      </c>
      <c r="G33" s="20">
        <f>G34+G116+G131</f>
        <v>1334.88</v>
      </c>
      <c r="H33" s="25">
        <f>H34+H116+H131</f>
        <v>1067.8031820000001</v>
      </c>
      <c r="I33" s="20">
        <f>I34+I116+I131</f>
        <v>995.90951500000006</v>
      </c>
      <c r="J33" s="25">
        <f>J34+J116+J131</f>
        <v>1076.2212118999998</v>
      </c>
      <c r="K33" s="32">
        <f>K34+K116+K131</f>
        <v>1324.3842263900003</v>
      </c>
      <c r="L33" s="25">
        <f>L34+L116+L131</f>
        <v>1381.249163358616</v>
      </c>
      <c r="M33" s="32">
        <f>M34+M116+M131</f>
        <v>1784.4392411399999</v>
      </c>
      <c r="N33" s="25">
        <f>N34+N116+N131</f>
        <v>2232.1999999999998</v>
      </c>
      <c r="O33" s="32">
        <f>O34+O116+O131</f>
        <v>1965.2462550000002</v>
      </c>
      <c r="P33" s="37"/>
      <c r="Q33" s="37"/>
    </row>
    <row r="34" spans="1:17" ht="16.5" customHeight="1" x14ac:dyDescent="0.2">
      <c r="A34" s="13" t="s">
        <v>11</v>
      </c>
      <c r="B34" s="14"/>
      <c r="C34" s="14"/>
      <c r="D34" s="26">
        <f t="shared" ref="D34:L34" si="6">SUM(D35:D115)</f>
        <v>632.76999999999987</v>
      </c>
      <c r="E34" s="12">
        <f t="shared" si="6"/>
        <v>377.81999999999988</v>
      </c>
      <c r="F34" s="26">
        <f t="shared" si="6"/>
        <v>481.4740000000001</v>
      </c>
      <c r="G34" s="12">
        <f t="shared" si="6"/>
        <v>646.2800000000002</v>
      </c>
      <c r="H34" s="26">
        <f t="shared" si="6"/>
        <v>576.13132100000007</v>
      </c>
      <c r="I34" s="12">
        <f t="shared" si="6"/>
        <v>552.66320200000007</v>
      </c>
      <c r="J34" s="26">
        <f t="shared" si="6"/>
        <v>580.60914744000002</v>
      </c>
      <c r="K34" s="47">
        <f t="shared" si="6"/>
        <v>757.12985139000023</v>
      </c>
      <c r="L34" s="26">
        <f t="shared" si="6"/>
        <v>694.02008727861607</v>
      </c>
      <c r="M34" s="47">
        <f>SUM(M35:M115)</f>
        <v>799.47285613999998</v>
      </c>
      <c r="N34" s="26">
        <f>SUM(N35:N115)</f>
        <v>1210.8</v>
      </c>
      <c r="O34" s="47">
        <f>SUM(O35:O115)</f>
        <v>1063.7000000000003</v>
      </c>
      <c r="P34" s="52"/>
      <c r="Q34" s="52"/>
    </row>
    <row r="35" spans="1:17" ht="12.75" customHeight="1" x14ac:dyDescent="0.2">
      <c r="A35" s="67" t="s">
        <v>2</v>
      </c>
      <c r="B35" s="68" t="s">
        <v>12</v>
      </c>
      <c r="C35" s="68"/>
      <c r="D35" s="87"/>
      <c r="E35" s="88"/>
      <c r="F35" s="57">
        <f>55.7*12%</f>
        <v>6.6840000000000002</v>
      </c>
      <c r="G35" s="58">
        <v>12.1</v>
      </c>
      <c r="H35" s="57">
        <v>13.1</v>
      </c>
      <c r="I35" s="59">
        <v>18.899999999999999</v>
      </c>
      <c r="J35" s="57">
        <v>18.865599840000002</v>
      </c>
      <c r="K35" s="59">
        <v>18.527016</v>
      </c>
      <c r="L35" s="57">
        <v>16.16562648</v>
      </c>
      <c r="M35" s="59">
        <f>100*0.18</f>
        <v>18</v>
      </c>
      <c r="N35" s="57">
        <v>12.6</v>
      </c>
      <c r="O35" s="59">
        <v>12.6</v>
      </c>
      <c r="P35" s="52"/>
      <c r="Q35" s="52"/>
    </row>
    <row r="36" spans="1:17" ht="12.75" customHeight="1" x14ac:dyDescent="0.2">
      <c r="A36" s="69"/>
      <c r="B36" s="55" t="s">
        <v>154</v>
      </c>
      <c r="C36" s="55"/>
      <c r="D36" s="57">
        <v>3.3</v>
      </c>
      <c r="E36" s="58">
        <v>7.2</v>
      </c>
      <c r="F36" s="57">
        <v>8.14</v>
      </c>
      <c r="G36" s="58">
        <v>35.5</v>
      </c>
      <c r="H36" s="57">
        <f>9.11248+11.898482</f>
        <v>21.010961999999999</v>
      </c>
      <c r="I36" s="59">
        <v>21.934899999999999</v>
      </c>
      <c r="J36" s="57">
        <f>0.51*26.476486</f>
        <v>13.50300786</v>
      </c>
      <c r="K36" s="59">
        <f>14.116489*0.51</f>
        <v>7.1994093899999996</v>
      </c>
      <c r="L36" s="57">
        <f>0.51*(8.125415+8.133223)</f>
        <v>8.2919053799999993</v>
      </c>
      <c r="M36" s="59">
        <f>0.51*(9.701769+7.626645)</f>
        <v>8.8374911400000009</v>
      </c>
      <c r="N36" s="57">
        <v>8.6999999999999993</v>
      </c>
      <c r="O36" s="59">
        <v>6.9</v>
      </c>
      <c r="P36" s="37"/>
      <c r="Q36" s="37"/>
    </row>
    <row r="37" spans="1:17" ht="12.75" customHeight="1" x14ac:dyDescent="0.2">
      <c r="A37" s="67"/>
      <c r="B37" s="55" t="s">
        <v>13</v>
      </c>
      <c r="C37" s="55"/>
      <c r="D37" s="57">
        <v>23.5</v>
      </c>
      <c r="E37" s="58">
        <v>23</v>
      </c>
      <c r="F37" s="57"/>
      <c r="G37" s="58"/>
      <c r="H37" s="57"/>
      <c r="I37" s="59"/>
      <c r="J37" s="57"/>
      <c r="K37" s="59"/>
      <c r="L37" s="57"/>
      <c r="M37" s="59"/>
      <c r="N37" s="57"/>
      <c r="O37" s="59"/>
      <c r="P37" s="37"/>
      <c r="Q37" s="37"/>
    </row>
    <row r="38" spans="1:17" ht="12.75" customHeight="1" x14ac:dyDescent="0.2">
      <c r="A38" s="67"/>
      <c r="B38" s="55" t="s">
        <v>74</v>
      </c>
      <c r="C38" s="55"/>
      <c r="D38" s="57">
        <v>5</v>
      </c>
      <c r="E38" s="58"/>
      <c r="F38" s="57"/>
      <c r="G38" s="58"/>
      <c r="H38" s="57"/>
      <c r="I38" s="59"/>
      <c r="J38" s="57"/>
      <c r="K38" s="59"/>
      <c r="L38" s="57"/>
      <c r="M38" s="59"/>
      <c r="N38" s="57"/>
      <c r="O38" s="59"/>
      <c r="P38" s="52"/>
      <c r="Q38" s="52"/>
    </row>
    <row r="39" spans="1:17" ht="12.75" customHeight="1" x14ac:dyDescent="0.2">
      <c r="A39" s="67"/>
      <c r="B39" s="55" t="s">
        <v>75</v>
      </c>
      <c r="C39" s="55"/>
      <c r="D39" s="57"/>
      <c r="E39" s="58">
        <v>1.5</v>
      </c>
      <c r="F39" s="57"/>
      <c r="G39" s="58"/>
      <c r="H39" s="57"/>
      <c r="I39" s="59"/>
      <c r="J39" s="57"/>
      <c r="K39" s="59"/>
      <c r="L39" s="57"/>
      <c r="M39" s="59"/>
      <c r="N39" s="57"/>
      <c r="O39" s="59"/>
      <c r="P39" s="37"/>
      <c r="Q39" s="52"/>
    </row>
    <row r="40" spans="1:17" ht="12.75" customHeight="1" x14ac:dyDescent="0.2">
      <c r="A40" s="67"/>
      <c r="B40" s="55" t="s">
        <v>160</v>
      </c>
      <c r="C40" s="55"/>
      <c r="D40" s="57"/>
      <c r="E40" s="58"/>
      <c r="F40" s="57"/>
      <c r="G40" s="58"/>
      <c r="H40" s="57"/>
      <c r="I40" s="59"/>
      <c r="J40" s="57"/>
      <c r="K40" s="59">
        <f>13.002834+12.184877</f>
        <v>25.187711</v>
      </c>
      <c r="L40" s="57">
        <f>8.458448+38.985215</f>
        <v>47.443663000000001</v>
      </c>
      <c r="M40" s="59">
        <v>36</v>
      </c>
      <c r="N40" s="57">
        <v>48.8</v>
      </c>
      <c r="O40" s="59">
        <v>33.4</v>
      </c>
      <c r="P40" s="37"/>
      <c r="Q40" s="52"/>
    </row>
    <row r="41" spans="1:17" ht="12.75" customHeight="1" x14ac:dyDescent="0.2">
      <c r="A41" s="67"/>
      <c r="B41" s="55" t="s">
        <v>165</v>
      </c>
      <c r="C41" s="55"/>
      <c r="D41" s="57"/>
      <c r="E41" s="58"/>
      <c r="F41" s="57"/>
      <c r="G41" s="58"/>
      <c r="H41" s="57"/>
      <c r="I41" s="59"/>
      <c r="J41" s="57"/>
      <c r="K41" s="59">
        <v>1.5913999999999999</v>
      </c>
      <c r="L41" s="57"/>
      <c r="M41" s="59"/>
      <c r="N41" s="57"/>
      <c r="O41" s="59"/>
      <c r="P41" s="37"/>
      <c r="Q41" s="52"/>
    </row>
    <row r="42" spans="1:17" ht="12.75" customHeight="1" x14ac:dyDescent="0.2">
      <c r="A42" s="69"/>
      <c r="B42" s="55" t="s">
        <v>76</v>
      </c>
      <c r="C42" s="55"/>
      <c r="D42" s="57">
        <v>25</v>
      </c>
      <c r="E42" s="58">
        <v>23.3</v>
      </c>
      <c r="F42" s="57">
        <v>37.9</v>
      </c>
      <c r="G42" s="58">
        <v>30</v>
      </c>
      <c r="H42" s="57">
        <v>24.5015</v>
      </c>
      <c r="I42" s="59">
        <v>22.101500000000001</v>
      </c>
      <c r="J42" s="57">
        <v>24.184291999999999</v>
      </c>
      <c r="K42" s="59">
        <v>22.0015</v>
      </c>
      <c r="L42" s="57">
        <v>9.1385299999999994</v>
      </c>
      <c r="M42" s="59">
        <v>12.0015</v>
      </c>
      <c r="N42" s="57">
        <v>42</v>
      </c>
      <c r="O42" s="59">
        <v>47.5</v>
      </c>
      <c r="P42" s="37"/>
      <c r="Q42" s="52"/>
    </row>
    <row r="43" spans="1:17" ht="12.75" customHeight="1" x14ac:dyDescent="0.2">
      <c r="A43" s="69"/>
      <c r="B43" s="55" t="s">
        <v>164</v>
      </c>
      <c r="C43" s="55"/>
      <c r="D43" s="57"/>
      <c r="E43" s="58"/>
      <c r="F43" s="57"/>
      <c r="G43" s="58"/>
      <c r="H43" s="57"/>
      <c r="I43" s="59"/>
      <c r="J43" s="57"/>
      <c r="K43" s="59">
        <v>17.4573</v>
      </c>
      <c r="L43" s="57">
        <v>13.067399999999999</v>
      </c>
      <c r="M43" s="59">
        <v>12.9765</v>
      </c>
      <c r="N43" s="57">
        <v>22.7</v>
      </c>
      <c r="O43" s="59">
        <v>25.1</v>
      </c>
      <c r="P43" s="37"/>
      <c r="Q43" s="52"/>
    </row>
    <row r="44" spans="1:17" ht="12.75" customHeight="1" x14ac:dyDescent="0.2">
      <c r="A44" s="69"/>
      <c r="B44" s="55" t="s">
        <v>14</v>
      </c>
      <c r="C44" s="55"/>
      <c r="D44" s="57"/>
      <c r="E44" s="58">
        <v>3.2</v>
      </c>
      <c r="F44" s="57">
        <v>4.0999999999999996</v>
      </c>
      <c r="G44" s="58">
        <v>13.2</v>
      </c>
      <c r="H44" s="57"/>
      <c r="I44" s="59"/>
      <c r="J44" s="57"/>
      <c r="K44" s="59"/>
      <c r="L44" s="57"/>
      <c r="M44" s="59"/>
      <c r="N44" s="57"/>
      <c r="O44" s="59"/>
      <c r="P44" s="37"/>
      <c r="Q44" s="37"/>
    </row>
    <row r="45" spans="1:17" ht="12.75" customHeight="1" x14ac:dyDescent="0.2">
      <c r="A45" s="69"/>
      <c r="B45" s="55" t="s">
        <v>15</v>
      </c>
      <c r="C45" s="55"/>
      <c r="D45" s="57">
        <v>35.299999999999997</v>
      </c>
      <c r="E45" s="58">
        <v>31.4</v>
      </c>
      <c r="F45" s="57">
        <v>11.5</v>
      </c>
      <c r="G45" s="58">
        <v>15.7</v>
      </c>
      <c r="H45" s="57">
        <f>16.228512+6.453799</f>
        <v>22.682310999999999</v>
      </c>
      <c r="I45" s="59"/>
      <c r="J45" s="57"/>
      <c r="K45" s="59"/>
      <c r="L45" s="57"/>
      <c r="M45" s="59"/>
      <c r="N45" s="57"/>
      <c r="O45" s="59"/>
      <c r="P45" s="37"/>
      <c r="Q45" s="37"/>
    </row>
    <row r="46" spans="1:17" ht="12.75" customHeight="1" x14ac:dyDescent="0.2">
      <c r="A46" s="69"/>
      <c r="B46" s="55" t="s">
        <v>16</v>
      </c>
      <c r="C46" s="55"/>
      <c r="D46" s="57"/>
      <c r="E46" s="58">
        <v>2</v>
      </c>
      <c r="F46" s="57">
        <v>8.1</v>
      </c>
      <c r="G46" s="58">
        <v>12.8</v>
      </c>
      <c r="H46" s="57">
        <v>13.1394</v>
      </c>
      <c r="I46" s="59"/>
      <c r="J46" s="57"/>
      <c r="K46" s="59"/>
      <c r="L46" s="57"/>
      <c r="M46" s="59"/>
      <c r="N46" s="57"/>
      <c r="O46" s="59"/>
      <c r="P46" s="37"/>
      <c r="Q46" s="52"/>
    </row>
    <row r="47" spans="1:17" ht="12.75" customHeight="1" x14ac:dyDescent="0.2">
      <c r="A47" s="69"/>
      <c r="B47" s="55" t="s">
        <v>172</v>
      </c>
      <c r="C47" s="55"/>
      <c r="D47" s="57"/>
      <c r="E47" s="58"/>
      <c r="F47" s="57"/>
      <c r="G47" s="58"/>
      <c r="H47" s="57"/>
      <c r="I47" s="59">
        <v>2.9854910000000001</v>
      </c>
      <c r="J47" s="57">
        <v>4.702426</v>
      </c>
      <c r="K47" s="59">
        <f>15.84402+4.786891</f>
        <v>20.630911000000001</v>
      </c>
      <c r="L47" s="57">
        <f>24.8675+5.356896</f>
        <v>30.224395999999999</v>
      </c>
      <c r="M47" s="59">
        <f>15.5715+8.631454</f>
        <v>24.202953999999998</v>
      </c>
      <c r="N47" s="57"/>
      <c r="O47" s="59"/>
      <c r="P47" s="37"/>
      <c r="Q47" s="52"/>
    </row>
    <row r="48" spans="1:17" ht="12.75" customHeight="1" x14ac:dyDescent="0.2">
      <c r="A48" s="69"/>
      <c r="B48" s="55" t="s">
        <v>159</v>
      </c>
      <c r="C48" s="55"/>
      <c r="D48" s="57"/>
      <c r="E48" s="58"/>
      <c r="F48" s="57"/>
      <c r="G48" s="58"/>
      <c r="H48" s="57"/>
      <c r="I48" s="59"/>
      <c r="J48" s="57"/>
      <c r="K48" s="59">
        <v>6.1935500000000001</v>
      </c>
      <c r="L48" s="57"/>
      <c r="M48" s="59"/>
      <c r="N48" s="57"/>
      <c r="O48" s="59"/>
      <c r="P48" s="37"/>
      <c r="Q48" s="52"/>
    </row>
    <row r="49" spans="1:17" ht="12.75" customHeight="1" x14ac:dyDescent="0.2">
      <c r="A49" s="69"/>
      <c r="B49" s="55" t="s">
        <v>77</v>
      </c>
      <c r="C49" s="55"/>
      <c r="D49" s="57">
        <v>25</v>
      </c>
      <c r="E49" s="58">
        <v>46.2</v>
      </c>
      <c r="F49" s="57">
        <v>40</v>
      </c>
      <c r="G49" s="58">
        <v>24.2</v>
      </c>
      <c r="H49" s="57">
        <v>44.051220000000001</v>
      </c>
      <c r="I49" s="59">
        <v>76.871499999999997</v>
      </c>
      <c r="J49" s="57">
        <f>69.7515</f>
        <v>69.751499999999993</v>
      </c>
      <c r="K49" s="59">
        <v>73.401499999999999</v>
      </c>
      <c r="L49" s="57">
        <v>72.367216999999997</v>
      </c>
      <c r="M49" s="59">
        <v>99.001499999999993</v>
      </c>
      <c r="N49" s="57">
        <v>109.9</v>
      </c>
      <c r="O49" s="59">
        <v>131.69999999999999</v>
      </c>
      <c r="P49" s="52"/>
      <c r="Q49" s="37"/>
    </row>
    <row r="50" spans="1:17" ht="12.75" customHeight="1" x14ac:dyDescent="0.2">
      <c r="A50" s="69"/>
      <c r="B50" s="55" t="s">
        <v>78</v>
      </c>
      <c r="C50" s="55"/>
      <c r="D50" s="57">
        <v>26</v>
      </c>
      <c r="E50" s="58">
        <v>16.899999999999999</v>
      </c>
      <c r="F50" s="57">
        <v>7.4</v>
      </c>
      <c r="G50" s="58"/>
      <c r="H50" s="57"/>
      <c r="I50" s="59"/>
      <c r="J50" s="57">
        <v>11.5413</v>
      </c>
      <c r="K50" s="59">
        <v>10.59108</v>
      </c>
      <c r="L50" s="57">
        <f>6.06305+5.78365+16.333875</f>
        <v>28.180574999999997</v>
      </c>
      <c r="M50" s="59">
        <v>9.7349250000000005</v>
      </c>
      <c r="N50" s="57">
        <f>48.9+12.1</f>
        <v>61</v>
      </c>
      <c r="O50" s="59">
        <v>30</v>
      </c>
      <c r="P50" s="37"/>
      <c r="Q50" s="37"/>
    </row>
    <row r="51" spans="1:17" ht="12.75" customHeight="1" x14ac:dyDescent="0.2">
      <c r="A51" s="69"/>
      <c r="B51" s="55" t="s">
        <v>79</v>
      </c>
      <c r="C51" s="55"/>
      <c r="D51" s="57">
        <v>5</v>
      </c>
      <c r="E51" s="58">
        <v>6.9</v>
      </c>
      <c r="F51" s="57"/>
      <c r="G51" s="58"/>
      <c r="H51" s="57"/>
      <c r="I51" s="59"/>
      <c r="J51" s="57"/>
      <c r="K51" s="59"/>
      <c r="L51" s="57"/>
      <c r="M51" s="59"/>
      <c r="N51" s="57"/>
      <c r="O51" s="59"/>
      <c r="P51" s="37"/>
      <c r="Q51" s="37"/>
    </row>
    <row r="52" spans="1:17" ht="12.75" customHeight="1" x14ac:dyDescent="0.2">
      <c r="A52" s="69"/>
      <c r="B52" s="55" t="s">
        <v>80</v>
      </c>
      <c r="C52" s="55"/>
      <c r="D52" s="57"/>
      <c r="E52" s="58"/>
      <c r="F52" s="57">
        <v>30</v>
      </c>
      <c r="G52" s="58">
        <v>121.9</v>
      </c>
      <c r="H52" s="57">
        <v>64.780500000000004</v>
      </c>
      <c r="I52" s="59"/>
      <c r="J52" s="57"/>
      <c r="K52" s="59"/>
      <c r="L52" s="57"/>
      <c r="M52" s="59"/>
      <c r="N52" s="57"/>
      <c r="O52" s="59"/>
      <c r="P52" s="52"/>
      <c r="Q52" s="52"/>
    </row>
    <row r="53" spans="1:17" ht="12.75" customHeight="1" x14ac:dyDescent="0.2">
      <c r="A53" s="69"/>
      <c r="B53" s="55" t="s">
        <v>81</v>
      </c>
      <c r="C53" s="55"/>
      <c r="D53" s="57"/>
      <c r="E53" s="58"/>
      <c r="F53" s="57"/>
      <c r="G53" s="58">
        <v>12.1</v>
      </c>
      <c r="H53" s="57">
        <v>11.4908</v>
      </c>
      <c r="I53" s="59">
        <v>11.301500000000001</v>
      </c>
      <c r="J53" s="57">
        <v>12.904400000000001</v>
      </c>
      <c r="K53" s="59">
        <v>30.401499999999999</v>
      </c>
      <c r="L53" s="57">
        <v>29.987293999999999</v>
      </c>
      <c r="M53" s="59"/>
      <c r="N53" s="57">
        <v>12.2</v>
      </c>
      <c r="O53" s="59">
        <v>30.2</v>
      </c>
      <c r="P53" s="37"/>
      <c r="Q53" s="37"/>
    </row>
    <row r="54" spans="1:17" ht="12.75" customHeight="1" x14ac:dyDescent="0.2">
      <c r="A54" s="69"/>
      <c r="B54" s="55" t="s">
        <v>183</v>
      </c>
      <c r="C54" s="55"/>
      <c r="D54" s="57"/>
      <c r="E54" s="58"/>
      <c r="F54" s="57"/>
      <c r="G54" s="58"/>
      <c r="H54" s="57"/>
      <c r="I54" s="59"/>
      <c r="J54" s="57"/>
      <c r="K54" s="59"/>
      <c r="L54" s="57"/>
      <c r="M54" s="59">
        <v>9.2939240000000005</v>
      </c>
      <c r="N54" s="57"/>
      <c r="O54" s="59"/>
      <c r="P54" s="37"/>
      <c r="Q54" s="37"/>
    </row>
    <row r="55" spans="1:17" ht="12.75" customHeight="1" x14ac:dyDescent="0.2">
      <c r="A55" s="69"/>
      <c r="B55" s="55" t="s">
        <v>152</v>
      </c>
      <c r="C55" s="55"/>
      <c r="D55" s="57"/>
      <c r="E55" s="58"/>
      <c r="F55" s="57"/>
      <c r="G55" s="58"/>
      <c r="H55" s="57"/>
      <c r="I55" s="59">
        <v>4.5767959999999999</v>
      </c>
      <c r="J55" s="57"/>
      <c r="K55" s="59"/>
      <c r="L55" s="57"/>
      <c r="M55" s="59"/>
      <c r="N55" s="57"/>
      <c r="O55" s="59"/>
      <c r="P55" s="37"/>
      <c r="Q55" s="37"/>
    </row>
    <row r="56" spans="1:17" ht="12.75" customHeight="1" x14ac:dyDescent="0.2">
      <c r="A56" s="69"/>
      <c r="B56" s="55" t="s">
        <v>102</v>
      </c>
      <c r="C56" s="55"/>
      <c r="D56" s="57"/>
      <c r="E56" s="58"/>
      <c r="F56" s="57"/>
      <c r="G56" s="58"/>
      <c r="H56" s="57"/>
      <c r="I56" s="59">
        <v>14.495587</v>
      </c>
      <c r="J56" s="57">
        <v>17.884696000000002</v>
      </c>
      <c r="K56" s="59">
        <v>15.566182</v>
      </c>
      <c r="L56" s="57">
        <v>17.650635999999999</v>
      </c>
      <c r="M56" s="59">
        <v>10.232746000000001</v>
      </c>
      <c r="N56" s="57"/>
      <c r="O56" s="59"/>
      <c r="P56" s="37"/>
      <c r="Q56" s="37"/>
    </row>
    <row r="57" spans="1:17" ht="12.75" customHeight="1" x14ac:dyDescent="0.2">
      <c r="A57" s="69"/>
      <c r="B57" s="55" t="s">
        <v>128</v>
      </c>
      <c r="C57" s="55"/>
      <c r="D57" s="57"/>
      <c r="E57" s="58"/>
      <c r="F57" s="57"/>
      <c r="G57" s="58"/>
      <c r="H57" s="57"/>
      <c r="I57" s="59">
        <v>1.57968</v>
      </c>
      <c r="J57" s="57">
        <v>5.060492</v>
      </c>
      <c r="K57" s="59"/>
      <c r="L57" s="57"/>
      <c r="M57" s="59"/>
      <c r="N57" s="57"/>
      <c r="O57" s="59"/>
      <c r="P57" s="37"/>
      <c r="Q57" s="52"/>
    </row>
    <row r="58" spans="1:17" ht="12.75" customHeight="1" x14ac:dyDescent="0.2">
      <c r="A58" s="69"/>
      <c r="B58" s="55" t="s">
        <v>82</v>
      </c>
      <c r="C58" s="55"/>
      <c r="D58" s="57">
        <v>30</v>
      </c>
      <c r="E58" s="58"/>
      <c r="F58" s="57"/>
      <c r="G58" s="58"/>
      <c r="H58" s="57"/>
      <c r="I58" s="59"/>
      <c r="J58" s="57"/>
      <c r="K58" s="59"/>
      <c r="L58" s="57"/>
      <c r="M58" s="59"/>
      <c r="N58" s="57"/>
      <c r="O58" s="59"/>
      <c r="P58" s="52"/>
      <c r="Q58" s="52"/>
    </row>
    <row r="59" spans="1:17" ht="12.75" customHeight="1" x14ac:dyDescent="0.2">
      <c r="A59" s="69"/>
      <c r="B59" s="55" t="s">
        <v>98</v>
      </c>
      <c r="C59" s="55"/>
      <c r="D59" s="57"/>
      <c r="E59" s="58"/>
      <c r="F59" s="57"/>
      <c r="G59" s="58"/>
      <c r="H59" s="57"/>
      <c r="I59" s="59">
        <v>24.2315</v>
      </c>
      <c r="J59" s="57">
        <v>12.904400000000001</v>
      </c>
      <c r="K59" s="59">
        <v>20.301500000000001</v>
      </c>
      <c r="L59" s="57">
        <v>20.296693999999999</v>
      </c>
      <c r="M59" s="59">
        <v>12.0015</v>
      </c>
      <c r="N59" s="57">
        <v>25.4</v>
      </c>
      <c r="O59" s="59">
        <v>21</v>
      </c>
      <c r="P59" s="37"/>
      <c r="Q59" s="37"/>
    </row>
    <row r="60" spans="1:17" ht="12.75" customHeight="1" x14ac:dyDescent="0.2">
      <c r="A60" s="69"/>
      <c r="B60" s="55" t="s">
        <v>17</v>
      </c>
      <c r="C60" s="55"/>
      <c r="D60" s="57"/>
      <c r="E60" s="58">
        <v>17.100000000000001</v>
      </c>
      <c r="F60" s="57">
        <v>47.2</v>
      </c>
      <c r="G60" s="58"/>
      <c r="H60" s="57"/>
      <c r="I60" s="59"/>
      <c r="J60" s="57">
        <v>17.291385999999999</v>
      </c>
      <c r="K60" s="59">
        <v>20.0015</v>
      </c>
      <c r="L60" s="57">
        <v>7.999606</v>
      </c>
      <c r="M60" s="59">
        <v>9.7882250000000006</v>
      </c>
      <c r="N60" s="57"/>
      <c r="O60" s="59"/>
      <c r="P60" s="37"/>
      <c r="Q60" s="37"/>
    </row>
    <row r="61" spans="1:17" ht="12.75" customHeight="1" x14ac:dyDescent="0.2">
      <c r="A61" s="69"/>
      <c r="B61" s="55" t="s">
        <v>113</v>
      </c>
      <c r="C61" s="55"/>
      <c r="D61" s="57"/>
      <c r="E61" s="58"/>
      <c r="F61" s="57"/>
      <c r="G61" s="58"/>
      <c r="H61" s="57"/>
      <c r="I61" s="59">
        <v>5</v>
      </c>
      <c r="J61" s="57">
        <v>5.5</v>
      </c>
      <c r="K61" s="59">
        <v>6</v>
      </c>
      <c r="L61" s="57">
        <v>7</v>
      </c>
      <c r="M61" s="59">
        <v>7.5</v>
      </c>
      <c r="N61" s="57">
        <v>7.5</v>
      </c>
      <c r="O61" s="59">
        <v>7.5</v>
      </c>
      <c r="P61" s="99"/>
      <c r="Q61" s="37"/>
    </row>
    <row r="62" spans="1:17" ht="12.75" customHeight="1" x14ac:dyDescent="0.2">
      <c r="A62" s="69"/>
      <c r="B62" s="55" t="s">
        <v>104</v>
      </c>
      <c r="C62" s="55"/>
      <c r="D62" s="57">
        <v>7.5</v>
      </c>
      <c r="E62" s="58">
        <v>7.9</v>
      </c>
      <c r="F62" s="57">
        <v>25.3</v>
      </c>
      <c r="G62" s="58">
        <v>24.2</v>
      </c>
      <c r="H62" s="57">
        <f>25.5835+5.5</f>
        <v>31.083500000000001</v>
      </c>
      <c r="I62" s="59">
        <v>58.542650000000002</v>
      </c>
      <c r="J62" s="57">
        <v>76.216650000000001</v>
      </c>
      <c r="K62" s="59">
        <v>82.201499999999996</v>
      </c>
      <c r="L62" s="57">
        <v>77.664708000000005</v>
      </c>
      <c r="M62" s="59">
        <v>99.201499999999996</v>
      </c>
      <c r="N62" s="57">
        <v>120.9</v>
      </c>
      <c r="O62" s="59">
        <v>132.1</v>
      </c>
      <c r="P62" s="37"/>
      <c r="Q62" s="37"/>
    </row>
    <row r="63" spans="1:17" ht="12.75" customHeight="1" x14ac:dyDescent="0.2">
      <c r="A63" s="69"/>
      <c r="B63" s="55" t="s">
        <v>105</v>
      </c>
      <c r="C63" s="55"/>
      <c r="D63" s="57">
        <v>15.7</v>
      </c>
      <c r="E63" s="58">
        <v>13.8</v>
      </c>
      <c r="F63" s="57">
        <v>22.5</v>
      </c>
      <c r="G63" s="58"/>
      <c r="H63" s="57">
        <v>30.209499999999998</v>
      </c>
      <c r="I63" s="59"/>
      <c r="J63" s="57"/>
      <c r="K63" s="59"/>
      <c r="L63" s="57"/>
      <c r="M63" s="59"/>
      <c r="N63" s="57"/>
      <c r="O63" s="59"/>
      <c r="P63" s="37"/>
      <c r="Q63" s="37"/>
    </row>
    <row r="64" spans="1:17" ht="12.75" customHeight="1" x14ac:dyDescent="0.2">
      <c r="A64" s="69"/>
      <c r="B64" s="55" t="s">
        <v>106</v>
      </c>
      <c r="C64" s="55"/>
      <c r="D64" s="57"/>
      <c r="E64" s="58"/>
      <c r="F64" s="57"/>
      <c r="G64" s="58"/>
      <c r="H64" s="57"/>
      <c r="I64" s="59">
        <v>17.017655999999999</v>
      </c>
      <c r="J64" s="57">
        <v>18.894974000000001</v>
      </c>
      <c r="K64" s="59">
        <v>13.114265</v>
      </c>
      <c r="L64" s="57"/>
      <c r="M64" s="59"/>
      <c r="N64" s="57"/>
      <c r="O64" s="59"/>
      <c r="P64" s="37"/>
      <c r="Q64" s="37"/>
    </row>
    <row r="65" spans="1:17" ht="12.75" customHeight="1" x14ac:dyDescent="0.2">
      <c r="A65" s="69"/>
      <c r="B65" s="55" t="s">
        <v>184</v>
      </c>
      <c r="C65" s="55"/>
      <c r="D65" s="57">
        <v>7.5</v>
      </c>
      <c r="E65" s="58">
        <v>6.9</v>
      </c>
      <c r="F65" s="57">
        <v>12.3</v>
      </c>
      <c r="G65" s="58">
        <v>24.2</v>
      </c>
      <c r="H65" s="57">
        <v>10.36464</v>
      </c>
      <c r="I65" s="59">
        <v>11.301500000000001</v>
      </c>
      <c r="J65" s="57">
        <v>11.4015</v>
      </c>
      <c r="K65" s="59">
        <v>17.5015</v>
      </c>
      <c r="L65" s="57">
        <v>17.997237999999999</v>
      </c>
      <c r="M65" s="59">
        <v>12.0015</v>
      </c>
      <c r="N65" s="57">
        <v>12.1</v>
      </c>
      <c r="O65" s="59"/>
      <c r="P65" s="37"/>
      <c r="Q65" s="37"/>
    </row>
    <row r="66" spans="1:17" ht="12.75" customHeight="1" x14ac:dyDescent="0.2">
      <c r="A66" s="69"/>
      <c r="B66" s="55" t="s">
        <v>107</v>
      </c>
      <c r="C66" s="55"/>
      <c r="D66" s="57">
        <v>5.6</v>
      </c>
      <c r="E66" s="58">
        <v>13.8</v>
      </c>
      <c r="F66" s="57">
        <v>12.3</v>
      </c>
      <c r="G66" s="58">
        <v>24.2</v>
      </c>
      <c r="H66" s="57">
        <v>12.795500000000001</v>
      </c>
      <c r="I66" s="59">
        <v>11.301500000000001</v>
      </c>
      <c r="J66" s="57">
        <v>12.201499999999999</v>
      </c>
      <c r="K66" s="59">
        <v>17.5015</v>
      </c>
      <c r="L66" s="57">
        <v>16.997475000000001</v>
      </c>
      <c r="M66" s="59">
        <v>12.0015</v>
      </c>
      <c r="N66" s="57">
        <v>12.1</v>
      </c>
      <c r="O66" s="59">
        <v>11</v>
      </c>
      <c r="P66" s="37"/>
      <c r="Q66" s="52"/>
    </row>
    <row r="67" spans="1:17" ht="12.75" customHeight="1" x14ac:dyDescent="0.2">
      <c r="A67" s="69"/>
      <c r="B67" s="55" t="s">
        <v>173</v>
      </c>
      <c r="C67" s="55"/>
      <c r="D67" s="57"/>
      <c r="E67" s="58"/>
      <c r="F67" s="57"/>
      <c r="G67" s="58"/>
      <c r="H67" s="57"/>
      <c r="I67" s="59"/>
      <c r="J67" s="57"/>
      <c r="K67" s="59"/>
      <c r="L67" s="57">
        <v>3.2687499999999998</v>
      </c>
      <c r="M67" s="59"/>
      <c r="N67" s="57"/>
      <c r="O67" s="59"/>
      <c r="P67" s="37"/>
      <c r="Q67" s="52"/>
    </row>
    <row r="68" spans="1:17" ht="12.75" customHeight="1" x14ac:dyDescent="0.2">
      <c r="A68" s="69"/>
      <c r="B68" s="55" t="s">
        <v>108</v>
      </c>
      <c r="C68" s="55"/>
      <c r="D68" s="57"/>
      <c r="E68" s="58"/>
      <c r="F68" s="57">
        <v>6.7</v>
      </c>
      <c r="G68" s="58">
        <v>12.1</v>
      </c>
      <c r="H68" s="57">
        <v>12.41168</v>
      </c>
      <c r="I68" s="59">
        <v>22.601500000000001</v>
      </c>
      <c r="J68" s="57">
        <f>7.485182+5.450118</f>
        <v>12.9353</v>
      </c>
      <c r="K68" s="59">
        <v>17.5015</v>
      </c>
      <c r="L68" s="57">
        <v>10.998896</v>
      </c>
      <c r="M68" s="59">
        <v>12.0015</v>
      </c>
      <c r="N68" s="57">
        <v>12.1</v>
      </c>
      <c r="O68" s="59">
        <v>11</v>
      </c>
      <c r="P68" s="37"/>
      <c r="Q68" s="52"/>
    </row>
    <row r="69" spans="1:17" ht="12.75" customHeight="1" x14ac:dyDescent="0.2">
      <c r="A69" s="69"/>
      <c r="B69" s="55" t="s">
        <v>188</v>
      </c>
      <c r="C69" s="55"/>
      <c r="D69" s="57"/>
      <c r="E69" s="58"/>
      <c r="F69" s="57"/>
      <c r="G69" s="58"/>
      <c r="H69" s="57"/>
      <c r="I69" s="59"/>
      <c r="J69" s="57"/>
      <c r="K69" s="59"/>
      <c r="L69" s="57"/>
      <c r="M69" s="59">
        <v>19.995260999999999</v>
      </c>
      <c r="N69" s="57">
        <v>24.8</v>
      </c>
      <c r="O69" s="59">
        <v>22.5</v>
      </c>
      <c r="P69" s="37"/>
      <c r="Q69" s="52"/>
    </row>
    <row r="70" spans="1:17" ht="12.75" customHeight="1" x14ac:dyDescent="0.2">
      <c r="A70" s="69"/>
      <c r="B70" s="55" t="s">
        <v>158</v>
      </c>
      <c r="C70" s="55"/>
      <c r="D70" s="57"/>
      <c r="E70" s="58"/>
      <c r="F70" s="57"/>
      <c r="G70" s="58"/>
      <c r="H70" s="57"/>
      <c r="I70" s="59"/>
      <c r="J70" s="57"/>
      <c r="K70" s="59">
        <v>16.17043</v>
      </c>
      <c r="L70" s="57">
        <f>0.616614+0.016322</f>
        <v>0.63293599999999994</v>
      </c>
      <c r="M70" s="59"/>
      <c r="N70" s="57"/>
      <c r="O70" s="59"/>
      <c r="P70" s="37"/>
      <c r="Q70" s="52"/>
    </row>
    <row r="71" spans="1:17" ht="12.75" customHeight="1" x14ac:dyDescent="0.2">
      <c r="A71" s="69"/>
      <c r="B71" s="55" t="s">
        <v>185</v>
      </c>
      <c r="C71" s="55"/>
      <c r="D71" s="57"/>
      <c r="E71" s="58"/>
      <c r="F71" s="57"/>
      <c r="G71" s="58"/>
      <c r="H71" s="57"/>
      <c r="I71" s="59"/>
      <c r="J71" s="57"/>
      <c r="K71" s="59"/>
      <c r="L71" s="57"/>
      <c r="M71" s="59">
        <f>6.559081+14.633762</f>
        <v>21.192843</v>
      </c>
      <c r="N71" s="57">
        <v>0.2</v>
      </c>
      <c r="O71" s="59"/>
      <c r="P71" s="37"/>
      <c r="Q71" s="52"/>
    </row>
    <row r="72" spans="1:17" ht="12.75" customHeight="1" x14ac:dyDescent="0.2">
      <c r="A72" s="69"/>
      <c r="B72" s="55" t="s">
        <v>109</v>
      </c>
      <c r="C72" s="55"/>
      <c r="D72" s="57"/>
      <c r="E72" s="58"/>
      <c r="F72" s="57">
        <v>14.1</v>
      </c>
      <c r="G72" s="58">
        <v>53.1</v>
      </c>
      <c r="H72" s="57">
        <f>19.295277+14.263463</f>
        <v>33.55874</v>
      </c>
      <c r="I72" s="59"/>
      <c r="J72" s="57"/>
      <c r="K72" s="59"/>
      <c r="L72" s="57"/>
      <c r="M72" s="59"/>
      <c r="N72" s="57"/>
      <c r="O72" s="59"/>
      <c r="P72" s="37"/>
      <c r="Q72" s="37"/>
    </row>
    <row r="73" spans="1:17" ht="12.75" customHeight="1" x14ac:dyDescent="0.2">
      <c r="A73" s="69"/>
      <c r="B73" s="55" t="s">
        <v>155</v>
      </c>
      <c r="C73" s="55"/>
      <c r="D73" s="57"/>
      <c r="E73" s="58"/>
      <c r="F73" s="57"/>
      <c r="G73" s="58"/>
      <c r="H73" s="57"/>
      <c r="I73" s="59"/>
      <c r="J73" s="57">
        <v>18.84</v>
      </c>
      <c r="K73" s="59">
        <v>17.347950000000001</v>
      </c>
      <c r="L73" s="57"/>
      <c r="M73" s="59"/>
      <c r="N73" s="57"/>
      <c r="O73" s="59"/>
      <c r="P73" s="37"/>
      <c r="Q73" s="37"/>
    </row>
    <row r="74" spans="1:17" ht="12.75" customHeight="1" x14ac:dyDescent="0.2">
      <c r="A74" s="69"/>
      <c r="B74" s="55" t="s">
        <v>162</v>
      </c>
      <c r="C74" s="55"/>
      <c r="D74" s="57"/>
      <c r="E74" s="58"/>
      <c r="F74" s="57"/>
      <c r="G74" s="58"/>
      <c r="H74" s="57"/>
      <c r="I74" s="59"/>
      <c r="J74" s="57"/>
      <c r="K74" s="59">
        <v>4.9753100000000003</v>
      </c>
      <c r="L74" s="57">
        <v>5.0015000000000001</v>
      </c>
      <c r="M74" s="59"/>
      <c r="N74" s="57"/>
      <c r="O74" s="59"/>
      <c r="P74" s="37"/>
      <c r="Q74" s="37"/>
    </row>
    <row r="75" spans="1:17" ht="12.75" customHeight="1" x14ac:dyDescent="0.2">
      <c r="A75" s="69"/>
      <c r="B75" s="55" t="s">
        <v>186</v>
      </c>
      <c r="C75" s="55"/>
      <c r="D75" s="57"/>
      <c r="E75" s="58"/>
      <c r="F75" s="57"/>
      <c r="G75" s="58"/>
      <c r="H75" s="57"/>
      <c r="I75" s="59"/>
      <c r="J75" s="57"/>
      <c r="K75" s="59"/>
      <c r="L75" s="57"/>
      <c r="M75" s="59">
        <v>5.6412760000000004</v>
      </c>
      <c r="N75" s="57">
        <v>4.5</v>
      </c>
      <c r="O75" s="59">
        <v>6.2</v>
      </c>
      <c r="P75" s="37"/>
      <c r="Q75" s="37"/>
    </row>
    <row r="76" spans="1:17" ht="12.75" customHeight="1" x14ac:dyDescent="0.2">
      <c r="A76" s="69"/>
      <c r="B76" s="55" t="s">
        <v>110</v>
      </c>
      <c r="C76" s="55"/>
      <c r="D76" s="57">
        <v>3</v>
      </c>
      <c r="E76" s="58">
        <v>5</v>
      </c>
      <c r="F76" s="57">
        <v>5</v>
      </c>
      <c r="G76" s="58">
        <v>5</v>
      </c>
      <c r="H76" s="57">
        <v>4.5</v>
      </c>
      <c r="I76" s="59">
        <v>5</v>
      </c>
      <c r="J76" s="57">
        <v>5.5</v>
      </c>
      <c r="K76" s="59">
        <v>8</v>
      </c>
      <c r="L76" s="57">
        <v>18.5</v>
      </c>
      <c r="M76" s="59"/>
      <c r="N76" s="57">
        <v>13</v>
      </c>
      <c r="O76" s="59">
        <v>13</v>
      </c>
      <c r="P76" s="37"/>
      <c r="Q76" s="37"/>
    </row>
    <row r="77" spans="1:17" ht="12.75" customHeight="1" x14ac:dyDescent="0.2">
      <c r="A77" s="69"/>
      <c r="B77" s="55" t="s">
        <v>121</v>
      </c>
      <c r="C77" s="55"/>
      <c r="D77" s="57">
        <v>7</v>
      </c>
      <c r="E77" s="58">
        <v>15.5</v>
      </c>
      <c r="F77" s="57">
        <v>32.700000000000003</v>
      </c>
      <c r="G77" s="58">
        <v>48.4</v>
      </c>
      <c r="H77" s="57">
        <f>31.09542+34.5213</f>
        <v>65.616720000000001</v>
      </c>
      <c r="I77" s="59">
        <v>24.587199999999999</v>
      </c>
      <c r="J77" s="57">
        <v>11.4015</v>
      </c>
      <c r="K77" s="59">
        <v>16.389285000000001</v>
      </c>
      <c r="L77" s="57">
        <v>6.5344499999999996</v>
      </c>
      <c r="M77" s="59">
        <v>6.4974999999999996</v>
      </c>
      <c r="N77" s="57"/>
      <c r="O77" s="59">
        <v>21.6</v>
      </c>
      <c r="P77" s="52"/>
      <c r="Q77" s="37"/>
    </row>
    <row r="78" spans="1:17" ht="12.75" customHeight="1" x14ac:dyDescent="0.2">
      <c r="A78" s="69"/>
      <c r="B78" s="55" t="s">
        <v>124</v>
      </c>
      <c r="C78" s="55"/>
      <c r="D78" s="57"/>
      <c r="E78" s="58"/>
      <c r="F78" s="57"/>
      <c r="G78" s="58"/>
      <c r="H78" s="57">
        <v>13.360347000000001</v>
      </c>
      <c r="I78" s="59">
        <v>4.8765200000000002</v>
      </c>
      <c r="J78" s="57">
        <v>20.161234</v>
      </c>
      <c r="K78" s="59">
        <v>24.524531</v>
      </c>
      <c r="L78" s="57">
        <f>24.49039+20.352709</f>
        <v>44.843099000000002</v>
      </c>
      <c r="M78" s="59">
        <v>4.1268079999999996</v>
      </c>
      <c r="N78" s="57">
        <v>19.600000000000001</v>
      </c>
      <c r="O78" s="59"/>
      <c r="P78" s="52"/>
      <c r="Q78" s="37"/>
    </row>
    <row r="79" spans="1:17" ht="12.75" customHeight="1" x14ac:dyDescent="0.2">
      <c r="A79" s="69"/>
      <c r="B79" s="55" t="s">
        <v>122</v>
      </c>
      <c r="C79" s="55"/>
      <c r="D79" s="57"/>
      <c r="E79" s="58"/>
      <c r="F79" s="57"/>
      <c r="G79" s="58"/>
      <c r="H79" s="57"/>
      <c r="I79" s="59">
        <v>3.6587640000000001</v>
      </c>
      <c r="J79" s="57">
        <f>13.910422+3.711509</f>
        <v>17.621931</v>
      </c>
      <c r="K79" s="59">
        <v>19.107011</v>
      </c>
      <c r="L79" s="57">
        <f>2.780768+19.877013</f>
        <v>22.657781</v>
      </c>
      <c r="M79" s="59">
        <v>20.066586000000001</v>
      </c>
      <c r="N79" s="57">
        <v>1</v>
      </c>
      <c r="O79" s="59"/>
      <c r="P79" s="52"/>
      <c r="Q79" s="37"/>
    </row>
    <row r="80" spans="1:17" ht="12.75" customHeight="1" x14ac:dyDescent="0.2">
      <c r="A80" s="69"/>
      <c r="B80" s="55" t="s">
        <v>123</v>
      </c>
      <c r="C80" s="55"/>
      <c r="D80" s="57"/>
      <c r="E80" s="58"/>
      <c r="F80" s="57"/>
      <c r="G80" s="58"/>
      <c r="H80" s="57"/>
      <c r="I80" s="59">
        <v>15.642179</v>
      </c>
      <c r="J80" s="57">
        <v>16.386244000000001</v>
      </c>
      <c r="K80" s="59">
        <v>30.324075000000001</v>
      </c>
      <c r="L80" s="57">
        <f>13.010867+0.0157</f>
        <v>13.026567</v>
      </c>
      <c r="M80" s="59"/>
      <c r="N80" s="57"/>
      <c r="O80" s="59"/>
      <c r="P80" s="37"/>
      <c r="Q80" s="37"/>
    </row>
    <row r="81" spans="1:17" ht="12.75" customHeight="1" x14ac:dyDescent="0.2">
      <c r="A81" s="69"/>
      <c r="B81" s="55" t="s">
        <v>144</v>
      </c>
      <c r="C81" s="55"/>
      <c r="D81" s="57"/>
      <c r="E81" s="58"/>
      <c r="F81" s="57"/>
      <c r="G81" s="58"/>
      <c r="H81" s="57"/>
      <c r="I81" s="59"/>
      <c r="J81" s="57">
        <v>6.4629500000000002</v>
      </c>
      <c r="K81" s="59">
        <v>6.0710499999999996</v>
      </c>
      <c r="L81" s="57">
        <v>5.8326000000000002</v>
      </c>
      <c r="M81" s="59"/>
      <c r="N81" s="57">
        <f>50+7.3</f>
        <v>57.3</v>
      </c>
      <c r="O81" s="59"/>
      <c r="P81" s="37"/>
      <c r="Q81" s="52"/>
    </row>
    <row r="82" spans="1:17" ht="12.75" customHeight="1" x14ac:dyDescent="0.2">
      <c r="A82" s="69"/>
      <c r="B82" s="55" t="s">
        <v>116</v>
      </c>
      <c r="C82" s="55"/>
      <c r="D82" s="57">
        <v>1.9</v>
      </c>
      <c r="E82" s="58">
        <v>1.8</v>
      </c>
      <c r="F82" s="57">
        <v>2.2999999999999998</v>
      </c>
      <c r="G82" s="58">
        <v>7.3</v>
      </c>
      <c r="H82" s="57">
        <v>10.8</v>
      </c>
      <c r="I82" s="59">
        <v>14.94</v>
      </c>
      <c r="J82" s="57">
        <v>11.154104999999999</v>
      </c>
      <c r="K82" s="59">
        <v>6.749009</v>
      </c>
      <c r="L82" s="57">
        <v>6.7641226000000003</v>
      </c>
      <c r="M82" s="59">
        <f>0.6*16.3</f>
        <v>9.7799999999999994</v>
      </c>
      <c r="N82" s="57">
        <v>10.3</v>
      </c>
      <c r="O82" s="59">
        <v>10.3</v>
      </c>
      <c r="P82" s="37"/>
      <c r="Q82" s="52"/>
    </row>
    <row r="83" spans="1:17" ht="12.75" customHeight="1" x14ac:dyDescent="0.2">
      <c r="A83" s="69"/>
      <c r="B83" s="55" t="s">
        <v>112</v>
      </c>
      <c r="C83" s="55"/>
      <c r="D83" s="57"/>
      <c r="E83" s="58"/>
      <c r="F83" s="57"/>
      <c r="G83" s="58"/>
      <c r="H83" s="57"/>
      <c r="I83" s="59">
        <v>7.3371599999999999</v>
      </c>
      <c r="J83" s="57"/>
      <c r="K83" s="59"/>
      <c r="L83" s="57"/>
      <c r="M83" s="59"/>
      <c r="N83" s="57"/>
      <c r="O83" s="59"/>
      <c r="P83" s="37"/>
      <c r="Q83" s="52"/>
    </row>
    <row r="84" spans="1:17" ht="12.75" customHeight="1" x14ac:dyDescent="0.2">
      <c r="A84" s="69"/>
      <c r="B84" s="55" t="s">
        <v>83</v>
      </c>
      <c r="C84" s="56"/>
      <c r="D84" s="57"/>
      <c r="E84" s="58">
        <v>6.1</v>
      </c>
      <c r="F84" s="57"/>
      <c r="G84" s="58"/>
      <c r="H84" s="57"/>
      <c r="I84" s="59"/>
      <c r="J84" s="57"/>
      <c r="K84" s="59"/>
      <c r="L84" s="57"/>
      <c r="M84" s="59"/>
      <c r="N84" s="57"/>
      <c r="O84" s="59"/>
      <c r="P84" s="37"/>
      <c r="Q84" s="52"/>
    </row>
    <row r="85" spans="1:17" ht="12.75" customHeight="1" x14ac:dyDescent="0.2">
      <c r="A85" s="69"/>
      <c r="B85" s="56" t="s">
        <v>119</v>
      </c>
      <c r="C85" s="56"/>
      <c r="D85" s="57">
        <v>3.8</v>
      </c>
      <c r="E85" s="58">
        <v>3.2</v>
      </c>
      <c r="F85" s="57">
        <v>3.2</v>
      </c>
      <c r="G85" s="58">
        <v>8.6</v>
      </c>
      <c r="H85" s="57">
        <f>28.768</f>
        <v>28.768000000000001</v>
      </c>
      <c r="I85" s="59">
        <v>11.201499999999999</v>
      </c>
      <c r="J85" s="57"/>
      <c r="K85" s="59">
        <v>12.019600000000001</v>
      </c>
      <c r="L85" s="57">
        <v>12.4345</v>
      </c>
      <c r="M85" s="59">
        <v>13.5273</v>
      </c>
      <c r="N85" s="57">
        <f>12.9+22.4</f>
        <v>35.299999999999997</v>
      </c>
      <c r="O85" s="59">
        <v>77.5</v>
      </c>
      <c r="P85" s="52"/>
      <c r="Q85" s="52"/>
    </row>
    <row r="86" spans="1:17" ht="12.75" customHeight="1" x14ac:dyDescent="0.2">
      <c r="A86" s="69"/>
      <c r="B86" s="56" t="s">
        <v>103</v>
      </c>
      <c r="C86" s="56"/>
      <c r="D86" s="57"/>
      <c r="E86" s="58"/>
      <c r="F86" s="57">
        <v>6.2</v>
      </c>
      <c r="G86" s="58">
        <v>12.1</v>
      </c>
      <c r="H86" s="57">
        <v>5.7461500000000001</v>
      </c>
      <c r="I86" s="59">
        <v>4.5845909999999996</v>
      </c>
      <c r="J86" s="57"/>
      <c r="K86" s="59"/>
      <c r="L86" s="57"/>
      <c r="M86" s="59"/>
      <c r="N86" s="57"/>
      <c r="O86" s="59"/>
      <c r="P86" s="37"/>
      <c r="Q86" s="52"/>
    </row>
    <row r="87" spans="1:17" ht="12.75" customHeight="1" x14ac:dyDescent="0.2">
      <c r="A87" s="69"/>
      <c r="B87" s="55" t="s">
        <v>133</v>
      </c>
      <c r="C87" s="55"/>
      <c r="D87" s="57"/>
      <c r="E87" s="58"/>
      <c r="F87" s="57"/>
      <c r="G87" s="58"/>
      <c r="H87" s="57"/>
      <c r="I87" s="59"/>
      <c r="J87" s="57">
        <v>2.136644</v>
      </c>
      <c r="K87" s="59">
        <v>1.9670909999999999</v>
      </c>
      <c r="L87" s="57">
        <v>2.8705970000000001</v>
      </c>
      <c r="M87" s="59">
        <v>2.6651729999999998</v>
      </c>
      <c r="N87" s="57">
        <v>0.3</v>
      </c>
      <c r="O87" s="59">
        <v>2</v>
      </c>
      <c r="P87" s="37"/>
      <c r="Q87" s="37"/>
    </row>
    <row r="88" spans="1:17" ht="12.75" customHeight="1" x14ac:dyDescent="0.2">
      <c r="A88" s="69"/>
      <c r="B88" s="56" t="s">
        <v>18</v>
      </c>
      <c r="C88" s="56"/>
      <c r="D88" s="57">
        <v>28.1</v>
      </c>
      <c r="E88" s="58">
        <v>38</v>
      </c>
      <c r="F88" s="57">
        <v>37.5</v>
      </c>
      <c r="G88" s="58">
        <v>24.2</v>
      </c>
      <c r="H88" s="57">
        <v>12.0876</v>
      </c>
      <c r="I88" s="59"/>
      <c r="J88" s="57">
        <v>10.227600000000001</v>
      </c>
      <c r="K88" s="59">
        <v>12.019600000000001</v>
      </c>
      <c r="L88" s="57">
        <v>11.4138</v>
      </c>
      <c r="M88" s="59">
        <v>13.5273</v>
      </c>
      <c r="N88" s="57">
        <v>12.9</v>
      </c>
      <c r="O88" s="59">
        <v>10.6</v>
      </c>
      <c r="P88" s="37"/>
      <c r="Q88" s="37"/>
    </row>
    <row r="89" spans="1:17" ht="12.75" customHeight="1" x14ac:dyDescent="0.2">
      <c r="A89" s="69"/>
      <c r="B89" s="56" t="s">
        <v>145</v>
      </c>
      <c r="C89" s="56"/>
      <c r="D89" s="57"/>
      <c r="E89" s="58"/>
      <c r="F89" s="57"/>
      <c r="G89" s="58"/>
      <c r="H89" s="57"/>
      <c r="I89" s="59"/>
      <c r="J89" s="57">
        <v>12.9434</v>
      </c>
      <c r="K89" s="59">
        <v>27.1128</v>
      </c>
      <c r="L89" s="57"/>
      <c r="M89" s="59"/>
      <c r="N89" s="57"/>
      <c r="O89" s="59">
        <v>15.5</v>
      </c>
      <c r="P89" s="37"/>
      <c r="Q89" s="37"/>
    </row>
    <row r="90" spans="1:17" ht="12.75" customHeight="1" x14ac:dyDescent="0.2">
      <c r="A90" s="69"/>
      <c r="B90" s="56" t="s">
        <v>187</v>
      </c>
      <c r="C90" s="56"/>
      <c r="D90" s="57"/>
      <c r="E90" s="58"/>
      <c r="F90" s="57"/>
      <c r="G90" s="58"/>
      <c r="H90" s="57"/>
      <c r="I90" s="59"/>
      <c r="J90" s="57"/>
      <c r="K90" s="59"/>
      <c r="L90" s="57"/>
      <c r="M90" s="59">
        <v>97.981499999999997</v>
      </c>
      <c r="N90" s="57">
        <v>35.799999999999997</v>
      </c>
      <c r="O90" s="59">
        <v>46.2</v>
      </c>
      <c r="P90" s="99"/>
      <c r="Q90" s="37"/>
    </row>
    <row r="91" spans="1:17" ht="12.75" customHeight="1" x14ac:dyDescent="0.2">
      <c r="A91" s="69"/>
      <c r="B91" s="56" t="s">
        <v>125</v>
      </c>
      <c r="C91" s="56"/>
      <c r="D91" s="57">
        <v>7.5</v>
      </c>
      <c r="E91" s="58">
        <v>12.9</v>
      </c>
      <c r="F91" s="57">
        <v>16.3</v>
      </c>
      <c r="G91" s="58">
        <v>24.2</v>
      </c>
      <c r="H91" s="57">
        <v>12.9604</v>
      </c>
      <c r="I91" s="59">
        <f>12.2946+8.0015</f>
        <v>20.296100000000003</v>
      </c>
      <c r="J91" s="57">
        <v>9.0015000000000001</v>
      </c>
      <c r="K91" s="59"/>
      <c r="L91" s="57"/>
      <c r="M91" s="59"/>
      <c r="N91" s="57"/>
      <c r="O91" s="59">
        <v>34.4</v>
      </c>
      <c r="P91" s="37"/>
      <c r="Q91" s="37"/>
    </row>
    <row r="92" spans="1:17" ht="12.75" customHeight="1" x14ac:dyDescent="0.2">
      <c r="A92" s="69"/>
      <c r="B92" s="56" t="s">
        <v>84</v>
      </c>
      <c r="C92" s="56"/>
      <c r="D92" s="57"/>
      <c r="E92" s="58">
        <v>6.2</v>
      </c>
      <c r="F92" s="57"/>
      <c r="G92" s="58">
        <v>24.3</v>
      </c>
      <c r="H92" s="57">
        <v>12.257540000000001</v>
      </c>
      <c r="I92" s="59">
        <v>8.0015000000000001</v>
      </c>
      <c r="J92" s="57">
        <v>7.0980949999999998</v>
      </c>
      <c r="K92" s="59">
        <v>12.4015</v>
      </c>
      <c r="L92" s="57">
        <v>11.998659</v>
      </c>
      <c r="M92" s="59">
        <v>12.0015</v>
      </c>
      <c r="N92" s="57">
        <v>12.7</v>
      </c>
      <c r="O92" s="59"/>
      <c r="P92" s="37"/>
      <c r="Q92" s="37"/>
    </row>
    <row r="93" spans="1:17" ht="12.75" customHeight="1" x14ac:dyDescent="0.2">
      <c r="A93" s="69"/>
      <c r="B93" s="56" t="s">
        <v>200</v>
      </c>
      <c r="C93" s="56"/>
      <c r="D93" s="57"/>
      <c r="E93" s="58"/>
      <c r="F93" s="57"/>
      <c r="G93" s="58">
        <v>10.5</v>
      </c>
      <c r="H93" s="57"/>
      <c r="I93" s="59">
        <v>23.020099999999999</v>
      </c>
      <c r="J93" s="57"/>
      <c r="K93" s="59"/>
      <c r="L93" s="57"/>
      <c r="M93" s="59"/>
      <c r="N93" s="57"/>
      <c r="O93" s="59">
        <v>30</v>
      </c>
      <c r="P93" s="39"/>
      <c r="Q93" s="39"/>
    </row>
    <row r="94" spans="1:17" ht="12.75" customHeight="1" x14ac:dyDescent="0.2">
      <c r="A94" s="69"/>
      <c r="B94" s="56" t="s">
        <v>120</v>
      </c>
      <c r="C94" s="56"/>
      <c r="D94" s="57">
        <v>7.5</v>
      </c>
      <c r="E94" s="58">
        <v>25</v>
      </c>
      <c r="F94" s="57"/>
      <c r="G94" s="58">
        <v>12.1</v>
      </c>
      <c r="H94" s="57">
        <v>12.0801</v>
      </c>
      <c r="I94" s="59">
        <v>5.5015000000000001</v>
      </c>
      <c r="J94" s="57"/>
      <c r="K94" s="59"/>
      <c r="L94" s="57"/>
      <c r="M94" s="59"/>
      <c r="N94" s="57"/>
      <c r="O94" s="59">
        <v>51.1</v>
      </c>
      <c r="P94" s="37"/>
      <c r="Q94" s="37"/>
    </row>
    <row r="95" spans="1:17" ht="12.75" customHeight="1" x14ac:dyDescent="0.2">
      <c r="A95" s="69"/>
      <c r="B95" s="56" t="s">
        <v>201</v>
      </c>
      <c r="C95" s="56"/>
      <c r="D95" s="57"/>
      <c r="E95" s="58"/>
      <c r="F95" s="57">
        <v>7.8</v>
      </c>
      <c r="G95" s="58"/>
      <c r="H95" s="57"/>
      <c r="I95" s="59"/>
      <c r="J95" s="57"/>
      <c r="K95" s="59"/>
      <c r="L95" s="57"/>
      <c r="M95" s="59"/>
      <c r="N95" s="57"/>
      <c r="O95" s="59">
        <v>14.7</v>
      </c>
      <c r="P95" s="37"/>
      <c r="Q95" s="37"/>
    </row>
    <row r="96" spans="1:17" ht="12.75" customHeight="1" x14ac:dyDescent="0.2">
      <c r="A96" s="69"/>
      <c r="B96" s="56" t="s">
        <v>111</v>
      </c>
      <c r="C96" s="56"/>
      <c r="D96" s="57"/>
      <c r="E96" s="58"/>
      <c r="F96" s="57"/>
      <c r="G96" s="58"/>
      <c r="H96" s="57"/>
      <c r="I96" s="59">
        <v>6.0163539999999998</v>
      </c>
      <c r="J96" s="57"/>
      <c r="K96" s="59"/>
      <c r="L96" s="57"/>
      <c r="M96" s="59"/>
      <c r="N96" s="57">
        <v>13.6</v>
      </c>
      <c r="O96" s="59"/>
      <c r="P96" s="37"/>
      <c r="Q96" s="37"/>
    </row>
    <row r="97" spans="1:17" ht="12.75" customHeight="1" x14ac:dyDescent="0.2">
      <c r="A97" s="69"/>
      <c r="B97" s="56" t="s">
        <v>19</v>
      </c>
      <c r="C97" s="56"/>
      <c r="D97" s="57"/>
      <c r="E97" s="58"/>
      <c r="F97" s="57"/>
      <c r="G97" s="58">
        <v>9.6999999999999993</v>
      </c>
      <c r="H97" s="57"/>
      <c r="I97" s="59">
        <v>11.5108</v>
      </c>
      <c r="J97" s="57"/>
      <c r="K97" s="59"/>
      <c r="L97" s="57"/>
      <c r="M97" s="59"/>
      <c r="N97" s="57"/>
      <c r="O97" s="59"/>
      <c r="P97" s="52"/>
      <c r="Q97" s="52"/>
    </row>
    <row r="98" spans="1:17" ht="12.75" customHeight="1" x14ac:dyDescent="0.2">
      <c r="A98" s="69"/>
      <c r="B98" s="56" t="s">
        <v>151</v>
      </c>
      <c r="C98" s="56"/>
      <c r="D98" s="57"/>
      <c r="E98" s="58"/>
      <c r="F98" s="57"/>
      <c r="G98" s="58"/>
      <c r="H98" s="57"/>
      <c r="I98" s="59"/>
      <c r="J98" s="57">
        <v>6.5407200000000003</v>
      </c>
      <c r="K98" s="59">
        <v>6.0385850000000003</v>
      </c>
      <c r="L98" s="57"/>
      <c r="M98" s="59">
        <v>78.511499999999998</v>
      </c>
      <c r="N98" s="57">
        <f>300+25</f>
        <v>325</v>
      </c>
      <c r="O98" s="59"/>
      <c r="P98" s="52"/>
      <c r="Q98" s="52"/>
    </row>
    <row r="99" spans="1:17" ht="12.75" customHeight="1" x14ac:dyDescent="0.2">
      <c r="A99" s="69"/>
      <c r="B99" s="56" t="s">
        <v>20</v>
      </c>
      <c r="C99" s="56"/>
      <c r="D99" s="57">
        <v>34.4</v>
      </c>
      <c r="E99" s="58">
        <v>12.4</v>
      </c>
      <c r="F99" s="57">
        <v>42.8</v>
      </c>
      <c r="G99" s="58">
        <v>25.6</v>
      </c>
      <c r="H99" s="57">
        <f>15.0015+11.259</f>
        <v>26.2605</v>
      </c>
      <c r="I99" s="59">
        <v>23.357198</v>
      </c>
      <c r="J99" s="57">
        <f>12.8315+12.8235</f>
        <v>25.655000000000001</v>
      </c>
      <c r="K99" s="59">
        <f>5.587845+12.1546</f>
        <v>17.742445</v>
      </c>
      <c r="L99" s="57">
        <f>12.117424+6.261487+6.213007+16.317625</f>
        <v>40.909542999999999</v>
      </c>
      <c r="M99" s="59">
        <f>10.14585+19.629</f>
        <v>29.774850000000001</v>
      </c>
      <c r="N99" s="57">
        <v>48.9</v>
      </c>
      <c r="O99" s="59">
        <f>27.1+21.8+16.3</f>
        <v>65.2</v>
      </c>
      <c r="P99" s="37"/>
      <c r="Q99" s="37"/>
    </row>
    <row r="100" spans="1:17" ht="12.75" customHeight="1" x14ac:dyDescent="0.2">
      <c r="A100" s="69"/>
      <c r="B100" s="56" t="s">
        <v>202</v>
      </c>
      <c r="C100" s="56"/>
      <c r="D100" s="57"/>
      <c r="E100" s="58"/>
      <c r="F100" s="57"/>
      <c r="G100" s="58"/>
      <c r="H100" s="57"/>
      <c r="I100" s="59"/>
      <c r="J100" s="57"/>
      <c r="K100" s="59"/>
      <c r="L100" s="57"/>
      <c r="M100" s="59"/>
      <c r="N100" s="57"/>
      <c r="O100" s="59">
        <v>49.7</v>
      </c>
      <c r="P100" s="52"/>
      <c r="Q100" s="52"/>
    </row>
    <row r="101" spans="1:17" ht="12.75" customHeight="1" x14ac:dyDescent="0.2">
      <c r="A101" s="69"/>
      <c r="B101" s="56" t="s">
        <v>21</v>
      </c>
      <c r="C101" s="56"/>
      <c r="D101" s="57">
        <v>220</v>
      </c>
      <c r="E101" s="58"/>
      <c r="F101" s="57"/>
      <c r="G101" s="58"/>
      <c r="H101" s="57"/>
      <c r="I101" s="59"/>
      <c r="J101" s="57"/>
      <c r="K101" s="59"/>
      <c r="L101" s="57"/>
      <c r="M101" s="59"/>
      <c r="N101" s="57"/>
      <c r="O101" s="59"/>
      <c r="P101" s="52"/>
      <c r="Q101" s="52"/>
    </row>
    <row r="102" spans="1:17" ht="12.75" customHeight="1" x14ac:dyDescent="0.2">
      <c r="A102" s="69"/>
      <c r="B102" s="56" t="s">
        <v>99</v>
      </c>
      <c r="C102" s="56"/>
      <c r="D102" s="57"/>
      <c r="E102" s="60"/>
      <c r="F102" s="57"/>
      <c r="G102" s="58"/>
      <c r="H102" s="57"/>
      <c r="I102" s="59"/>
      <c r="J102" s="57">
        <v>11.073764000000001</v>
      </c>
      <c r="K102" s="59">
        <v>19.483978</v>
      </c>
      <c r="L102" s="57">
        <v>10.247185</v>
      </c>
      <c r="M102" s="59">
        <v>8.7717080000000003</v>
      </c>
      <c r="N102" s="57">
        <f>17.2+15.8+3.9</f>
        <v>36.9</v>
      </c>
      <c r="O102" s="59">
        <f>15.5+12.4+8.1+5.8</f>
        <v>41.8</v>
      </c>
      <c r="P102" s="100"/>
      <c r="Q102" s="37"/>
    </row>
    <row r="103" spans="1:17" ht="12.75" customHeight="1" x14ac:dyDescent="0.2">
      <c r="A103" s="69"/>
      <c r="B103" s="56" t="s">
        <v>22</v>
      </c>
      <c r="C103" s="56"/>
      <c r="D103" s="57"/>
      <c r="E103" s="58">
        <v>1.5</v>
      </c>
      <c r="F103" s="57"/>
      <c r="G103" s="58"/>
      <c r="H103" s="57"/>
      <c r="I103" s="59"/>
      <c r="J103" s="57"/>
      <c r="K103" s="59"/>
      <c r="L103" s="57"/>
      <c r="M103" s="59"/>
      <c r="N103" s="57"/>
      <c r="O103" s="59"/>
      <c r="P103" s="52"/>
      <c r="Q103" s="37"/>
    </row>
    <row r="104" spans="1:17" ht="12.75" customHeight="1" x14ac:dyDescent="0.2">
      <c r="A104" s="69"/>
      <c r="B104" s="56" t="s">
        <v>23</v>
      </c>
      <c r="C104" s="56"/>
      <c r="D104" s="57">
        <v>2</v>
      </c>
      <c r="E104" s="58">
        <v>2</v>
      </c>
      <c r="F104" s="57">
        <v>2</v>
      </c>
      <c r="G104" s="58">
        <v>2.4</v>
      </c>
      <c r="H104" s="57"/>
      <c r="I104" s="59"/>
      <c r="J104" s="57"/>
      <c r="K104" s="59"/>
      <c r="L104" s="57"/>
      <c r="M104" s="59"/>
      <c r="N104" s="57"/>
      <c r="O104" s="59"/>
      <c r="P104" s="52"/>
      <c r="Q104" s="52"/>
    </row>
    <row r="105" spans="1:17" ht="12.75" customHeight="1" x14ac:dyDescent="0.2">
      <c r="A105" s="69"/>
      <c r="B105" s="56" t="s">
        <v>85</v>
      </c>
      <c r="C105" s="56"/>
      <c r="D105" s="57"/>
      <c r="E105" s="58">
        <v>2.9</v>
      </c>
      <c r="F105" s="57">
        <v>4.0999999999999996</v>
      </c>
      <c r="G105" s="58"/>
      <c r="H105" s="57"/>
      <c r="I105" s="59"/>
      <c r="J105" s="57"/>
      <c r="K105" s="59"/>
      <c r="L105" s="57"/>
      <c r="M105" s="59"/>
      <c r="N105" s="57"/>
      <c r="O105" s="59"/>
      <c r="P105" s="39"/>
      <c r="Q105" s="39"/>
    </row>
    <row r="106" spans="1:17" ht="12.75" customHeight="1" x14ac:dyDescent="0.2">
      <c r="A106" s="69"/>
      <c r="B106" s="56" t="s">
        <v>117</v>
      </c>
      <c r="C106" s="56"/>
      <c r="D106" s="57">
        <v>5.7</v>
      </c>
      <c r="E106" s="58">
        <v>4.4000000000000004</v>
      </c>
      <c r="F106" s="57">
        <v>5.9</v>
      </c>
      <c r="G106" s="58">
        <v>10.6</v>
      </c>
      <c r="H106" s="57">
        <v>11.5</v>
      </c>
      <c r="I106" s="59">
        <v>11.932</v>
      </c>
      <c r="J106" s="57">
        <v>11.4</v>
      </c>
      <c r="K106" s="59">
        <v>17.600000000000001</v>
      </c>
      <c r="L106" s="57">
        <v>11.122606809600001</v>
      </c>
      <c r="M106" s="59">
        <f>16.1*0.76</f>
        <v>12.236000000000001</v>
      </c>
      <c r="N106" s="57">
        <v>12.8</v>
      </c>
      <c r="O106" s="59">
        <v>12.8</v>
      </c>
      <c r="P106" s="37"/>
      <c r="Q106" s="37"/>
    </row>
    <row r="107" spans="1:17" ht="12.75" customHeight="1" x14ac:dyDescent="0.2">
      <c r="A107" s="69"/>
      <c r="B107" s="56" t="s">
        <v>86</v>
      </c>
      <c r="C107" s="56"/>
      <c r="D107" s="57">
        <v>3.8</v>
      </c>
      <c r="E107" s="58">
        <v>5.9</v>
      </c>
      <c r="F107" s="57">
        <v>8.1</v>
      </c>
      <c r="G107" s="58"/>
      <c r="H107" s="57"/>
      <c r="I107" s="59"/>
      <c r="J107" s="57"/>
      <c r="K107" s="59"/>
      <c r="L107" s="57"/>
      <c r="M107" s="59"/>
      <c r="N107" s="57"/>
      <c r="O107" s="59"/>
      <c r="P107" s="37"/>
      <c r="Q107" s="52"/>
    </row>
    <row r="108" spans="1:17" ht="12.75" customHeight="1" x14ac:dyDescent="0.2">
      <c r="A108" s="69"/>
      <c r="B108" s="56" t="s">
        <v>87</v>
      </c>
      <c r="C108" s="56"/>
      <c r="D108" s="57">
        <v>9</v>
      </c>
      <c r="E108" s="58"/>
      <c r="F108" s="57"/>
      <c r="G108" s="58"/>
      <c r="H108" s="57"/>
      <c r="I108" s="59"/>
      <c r="J108" s="57"/>
      <c r="K108" s="59"/>
      <c r="L108" s="57"/>
      <c r="M108" s="59"/>
      <c r="N108" s="57"/>
      <c r="O108" s="59"/>
      <c r="P108" s="37"/>
      <c r="Q108" s="37"/>
    </row>
    <row r="109" spans="1:17" ht="12.75" customHeight="1" x14ac:dyDescent="0.2">
      <c r="A109" s="69"/>
      <c r="B109" s="56" t="s">
        <v>88</v>
      </c>
      <c r="C109" s="56"/>
      <c r="D109" s="57">
        <v>4.2</v>
      </c>
      <c r="E109" s="58">
        <v>4.4000000000000004</v>
      </c>
      <c r="F109" s="57">
        <v>8.1</v>
      </c>
      <c r="G109" s="58"/>
      <c r="H109" s="57"/>
      <c r="I109" s="59"/>
      <c r="J109" s="57"/>
      <c r="K109" s="59"/>
      <c r="L109" s="57"/>
      <c r="M109" s="59"/>
      <c r="N109" s="57"/>
      <c r="O109" s="59"/>
      <c r="P109" s="37"/>
      <c r="Q109" s="37"/>
    </row>
    <row r="110" spans="1:17" ht="12.75" customHeight="1" x14ac:dyDescent="0.2">
      <c r="A110" s="69"/>
      <c r="B110" s="56" t="s">
        <v>203</v>
      </c>
      <c r="C110" s="56"/>
      <c r="D110" s="57">
        <v>7</v>
      </c>
      <c r="E110" s="58">
        <v>6.2</v>
      </c>
      <c r="F110" s="57"/>
      <c r="G110" s="58"/>
      <c r="H110" s="57"/>
      <c r="I110" s="59">
        <v>2.3029999999999999</v>
      </c>
      <c r="J110" s="57">
        <v>2.3029980000000001</v>
      </c>
      <c r="K110" s="59">
        <v>2.3014999999999999</v>
      </c>
      <c r="L110" s="57">
        <v>2.3014999999999999</v>
      </c>
      <c r="M110" s="59">
        <v>2.3014999999999999</v>
      </c>
      <c r="N110" s="57">
        <v>2.2999999999999998</v>
      </c>
      <c r="O110" s="59">
        <v>3</v>
      </c>
      <c r="P110" s="37"/>
      <c r="Q110" s="37"/>
    </row>
    <row r="111" spans="1:17" ht="12.75" customHeight="1" x14ac:dyDescent="0.2">
      <c r="A111" s="69"/>
      <c r="B111" s="56" t="s">
        <v>137</v>
      </c>
      <c r="C111" s="56"/>
      <c r="D111" s="57"/>
      <c r="E111" s="58"/>
      <c r="F111" s="57"/>
      <c r="G111" s="58"/>
      <c r="H111" s="57"/>
      <c r="I111" s="59">
        <v>6.0720000000000001</v>
      </c>
      <c r="J111" s="57">
        <v>8.3536803899999992</v>
      </c>
      <c r="K111" s="59">
        <v>9.0843220000000002</v>
      </c>
      <c r="L111" s="57">
        <v>6.28431871</v>
      </c>
      <c r="M111" s="59">
        <f>0.33*28.7</f>
        <v>9.4710000000000001</v>
      </c>
      <c r="N111" s="57">
        <v>7.9</v>
      </c>
      <c r="O111" s="59">
        <v>7.9</v>
      </c>
      <c r="P111" s="37"/>
      <c r="Q111" s="37"/>
    </row>
    <row r="112" spans="1:17" ht="12.75" customHeight="1" x14ac:dyDescent="0.2">
      <c r="A112" s="69"/>
      <c r="B112" s="56" t="s">
        <v>89</v>
      </c>
      <c r="C112" s="56"/>
      <c r="D112" s="57">
        <v>2.2999999999999998</v>
      </c>
      <c r="E112" s="58">
        <v>2</v>
      </c>
      <c r="F112" s="57">
        <v>4</v>
      </c>
      <c r="G112" s="58">
        <v>3.7</v>
      </c>
      <c r="H112" s="57">
        <v>3.9137110000000002</v>
      </c>
      <c r="I112" s="59">
        <v>4.6414759999999999</v>
      </c>
      <c r="J112" s="57">
        <v>4.1729880000000001</v>
      </c>
      <c r="K112" s="59">
        <v>4.727455</v>
      </c>
      <c r="L112" s="57">
        <v>2.8774000000000002</v>
      </c>
      <c r="M112" s="59">
        <v>2.6859860000000002</v>
      </c>
      <c r="N112" s="57"/>
      <c r="O112" s="59"/>
      <c r="P112" s="37"/>
      <c r="Q112" s="37"/>
    </row>
    <row r="113" spans="1:17" ht="12.75" customHeight="1" x14ac:dyDescent="0.2">
      <c r="A113" s="69"/>
      <c r="B113" s="56" t="s">
        <v>115</v>
      </c>
      <c r="C113" s="56"/>
      <c r="D113" s="57">
        <f>7.8*15%</f>
        <v>1.17</v>
      </c>
      <c r="E113" s="58">
        <f>8.8*15%</f>
        <v>1.32</v>
      </c>
      <c r="F113" s="57">
        <v>1.25</v>
      </c>
      <c r="G113" s="58">
        <v>2.2799999999999998</v>
      </c>
      <c r="H113" s="57">
        <v>11.1</v>
      </c>
      <c r="I113" s="59">
        <v>13.44</v>
      </c>
      <c r="J113" s="57">
        <v>13.44</v>
      </c>
      <c r="K113" s="59">
        <v>12.5</v>
      </c>
      <c r="L113" s="57">
        <v>9.2403122990163897</v>
      </c>
      <c r="M113" s="59">
        <f>0.6*19.9</f>
        <v>11.94</v>
      </c>
      <c r="N113" s="57">
        <v>12.2</v>
      </c>
      <c r="O113" s="59">
        <v>12.2</v>
      </c>
      <c r="P113" s="37"/>
      <c r="Q113" s="40"/>
    </row>
    <row r="114" spans="1:17" ht="12.75" customHeight="1" x14ac:dyDescent="0.2">
      <c r="A114" s="69"/>
      <c r="B114" s="56" t="s">
        <v>156</v>
      </c>
      <c r="C114" s="56"/>
      <c r="D114" s="57"/>
      <c r="E114" s="58"/>
      <c r="F114" s="57"/>
      <c r="G114" s="58"/>
      <c r="H114" s="57"/>
      <c r="I114" s="59"/>
      <c r="J114" s="57">
        <v>2.99137035</v>
      </c>
      <c r="K114" s="59">
        <v>9.6</v>
      </c>
      <c r="L114" s="57">
        <v>13.786</v>
      </c>
      <c r="M114" s="59">
        <v>12</v>
      </c>
      <c r="N114" s="57">
        <v>15.5</v>
      </c>
      <c r="O114" s="59">
        <v>15.5</v>
      </c>
      <c r="P114" s="37"/>
      <c r="Q114" s="40"/>
    </row>
    <row r="115" spans="1:17" ht="12.75" customHeight="1" x14ac:dyDescent="0.2">
      <c r="A115" s="60"/>
      <c r="B115" s="56" t="s">
        <v>24</v>
      </c>
      <c r="C115" s="56"/>
      <c r="D115" s="57">
        <v>70</v>
      </c>
      <c r="E115" s="58"/>
      <c r="F115" s="57"/>
      <c r="G115" s="58"/>
      <c r="H115" s="57"/>
      <c r="I115" s="59"/>
      <c r="J115" s="57"/>
      <c r="K115" s="59"/>
      <c r="L115" s="57"/>
      <c r="M115" s="59"/>
      <c r="N115" s="57"/>
      <c r="O115" s="59"/>
      <c r="P115" s="37"/>
      <c r="Q115" s="41"/>
    </row>
    <row r="116" spans="1:17" ht="16.5" customHeight="1" x14ac:dyDescent="0.2">
      <c r="A116" s="15" t="s">
        <v>25</v>
      </c>
      <c r="C116" s="16"/>
      <c r="D116" s="27">
        <f>SUM(D117:D130)</f>
        <v>337.5</v>
      </c>
      <c r="E116" s="17">
        <f>SUM(E117:E130)</f>
        <v>278.90000000000003</v>
      </c>
      <c r="F116" s="27">
        <f>SUM(F117:F130)</f>
        <v>335.4</v>
      </c>
      <c r="G116" s="17">
        <f>SUM(G117:G128)</f>
        <v>460.79999999999995</v>
      </c>
      <c r="H116" s="27">
        <f>SUM(H117:H128)</f>
        <v>421.44846799999993</v>
      </c>
      <c r="I116" s="31">
        <f t="shared" ref="I116:O116" si="7">SUM(I117:I130)</f>
        <v>291.175432</v>
      </c>
      <c r="J116" s="27">
        <f t="shared" si="7"/>
        <v>348.64679099999995</v>
      </c>
      <c r="K116" s="31">
        <f t="shared" si="7"/>
        <v>377.789241</v>
      </c>
      <c r="L116" s="27">
        <f t="shared" si="7"/>
        <v>486.886166</v>
      </c>
      <c r="M116" s="31">
        <f t="shared" si="7"/>
        <v>778.47862800000007</v>
      </c>
      <c r="N116" s="27">
        <f t="shared" si="7"/>
        <v>779.90000000000009</v>
      </c>
      <c r="O116" s="31">
        <f t="shared" si="7"/>
        <v>781.7</v>
      </c>
      <c r="P116" s="52"/>
      <c r="Q116" s="40"/>
    </row>
    <row r="117" spans="1:17" ht="13.5" customHeight="1" x14ac:dyDescent="0.2">
      <c r="A117" s="67" t="s">
        <v>2</v>
      </c>
      <c r="B117" s="55" t="s">
        <v>26</v>
      </c>
      <c r="C117" s="71"/>
      <c r="D117" s="57">
        <v>205.4</v>
      </c>
      <c r="E117" s="58">
        <v>205.4</v>
      </c>
      <c r="F117" s="57">
        <v>205.4</v>
      </c>
      <c r="G117" s="58">
        <v>235</v>
      </c>
      <c r="H117" s="57">
        <v>234.1</v>
      </c>
      <c r="I117" s="59">
        <v>234.1</v>
      </c>
      <c r="J117" s="57">
        <v>204.02</v>
      </c>
      <c r="K117" s="59">
        <v>204.02</v>
      </c>
      <c r="L117" s="57">
        <v>204.02</v>
      </c>
      <c r="M117" s="59">
        <v>506.2</v>
      </c>
      <c r="N117" s="57">
        <v>506</v>
      </c>
      <c r="O117" s="59">
        <v>506.2</v>
      </c>
      <c r="P117" s="52"/>
      <c r="Q117" s="40"/>
    </row>
    <row r="118" spans="1:17" ht="13.5" customHeight="1" x14ac:dyDescent="0.2">
      <c r="A118" s="67"/>
      <c r="B118" s="55" t="s">
        <v>176</v>
      </c>
      <c r="C118" s="71"/>
      <c r="D118" s="57"/>
      <c r="E118" s="58"/>
      <c r="F118" s="57"/>
      <c r="G118" s="58"/>
      <c r="H118" s="57"/>
      <c r="I118" s="59"/>
      <c r="J118" s="57"/>
      <c r="K118" s="59"/>
      <c r="L118" s="57">
        <v>110.75493299999999</v>
      </c>
      <c r="M118" s="59">
        <v>115.5</v>
      </c>
      <c r="N118" s="57">
        <v>105.5</v>
      </c>
      <c r="O118" s="59">
        <v>105.5</v>
      </c>
      <c r="P118" s="52"/>
      <c r="Q118" s="40"/>
    </row>
    <row r="119" spans="1:17" ht="13.5" customHeight="1" x14ac:dyDescent="0.2">
      <c r="A119" s="67"/>
      <c r="B119" s="71" t="s">
        <v>27</v>
      </c>
      <c r="C119" s="55"/>
      <c r="D119" s="57">
        <v>11.2</v>
      </c>
      <c r="E119" s="58"/>
      <c r="F119" s="57"/>
      <c r="G119" s="58">
        <v>25.2</v>
      </c>
      <c r="H119" s="57"/>
      <c r="I119" s="59"/>
      <c r="J119" s="57"/>
      <c r="K119" s="59"/>
      <c r="L119" s="57"/>
      <c r="M119" s="59"/>
      <c r="N119" s="57"/>
      <c r="O119" s="59"/>
      <c r="P119" s="37"/>
      <c r="Q119" s="41"/>
    </row>
    <row r="120" spans="1:17" ht="13.5" customHeight="1" x14ac:dyDescent="0.2">
      <c r="A120" s="69"/>
      <c r="B120" s="55" t="s">
        <v>153</v>
      </c>
      <c r="C120" s="71"/>
      <c r="D120" s="57">
        <v>23.5</v>
      </c>
      <c r="E120" s="58">
        <v>20.8</v>
      </c>
      <c r="F120" s="57">
        <v>30.9</v>
      </c>
      <c r="G120" s="58">
        <v>69.599999999999994</v>
      </c>
      <c r="H120" s="57">
        <f>40.238556+21.456452</f>
        <v>61.695008000000001</v>
      </c>
      <c r="I120" s="59">
        <v>0.46393200000000001</v>
      </c>
      <c r="J120" s="57">
        <v>12.9244</v>
      </c>
      <c r="K120" s="59"/>
      <c r="L120" s="57"/>
      <c r="M120" s="59"/>
      <c r="N120" s="57"/>
      <c r="O120" s="59">
        <v>20.9</v>
      </c>
      <c r="P120" s="52"/>
      <c r="Q120" s="37"/>
    </row>
    <row r="121" spans="1:17" ht="13.5" customHeight="1" x14ac:dyDescent="0.2">
      <c r="A121" s="69"/>
      <c r="B121" s="71" t="s">
        <v>28</v>
      </c>
      <c r="C121" s="71"/>
      <c r="D121" s="57">
        <v>21.6</v>
      </c>
      <c r="E121" s="58">
        <v>13.8</v>
      </c>
      <c r="F121" s="57">
        <v>33.9</v>
      </c>
      <c r="G121" s="58">
        <v>50.2</v>
      </c>
      <c r="H121" s="57">
        <f>33.777+18.69705</f>
        <v>52.474050000000005</v>
      </c>
      <c r="I121" s="59">
        <v>37.491500000000002</v>
      </c>
      <c r="J121" s="57">
        <f>38.7609+15.499141</f>
        <v>54.260041000000001</v>
      </c>
      <c r="K121" s="59">
        <v>40.141413999999997</v>
      </c>
      <c r="L121" s="57">
        <v>71.775400000000005</v>
      </c>
      <c r="M121" s="59">
        <v>38.977499999999999</v>
      </c>
      <c r="N121" s="57">
        <v>69</v>
      </c>
      <c r="O121" s="59">
        <v>32</v>
      </c>
      <c r="P121" s="52"/>
      <c r="Q121" s="52"/>
    </row>
    <row r="122" spans="1:17" ht="13.5" customHeight="1" x14ac:dyDescent="0.2">
      <c r="A122" s="69"/>
      <c r="B122" s="71" t="s">
        <v>146</v>
      </c>
      <c r="C122" s="71"/>
      <c r="D122" s="57"/>
      <c r="E122" s="58"/>
      <c r="F122" s="57">
        <v>14.9</v>
      </c>
      <c r="G122" s="58">
        <v>35</v>
      </c>
      <c r="H122" s="57">
        <v>51.95926</v>
      </c>
      <c r="I122" s="59"/>
      <c r="J122" s="57">
        <v>19.334849999999999</v>
      </c>
      <c r="K122" s="59">
        <v>18.777819999999998</v>
      </c>
      <c r="L122" s="57">
        <v>18.275559999999999</v>
      </c>
      <c r="M122" s="59">
        <v>52.341500000000003</v>
      </c>
      <c r="N122" s="57">
        <v>23</v>
      </c>
      <c r="O122" s="59">
        <v>20.7</v>
      </c>
      <c r="P122" s="38"/>
      <c r="Q122" s="38"/>
    </row>
    <row r="123" spans="1:17" ht="13.5" customHeight="1" x14ac:dyDescent="0.2">
      <c r="A123" s="69"/>
      <c r="B123" s="71" t="s">
        <v>29</v>
      </c>
      <c r="C123" s="71"/>
      <c r="D123" s="57">
        <v>10</v>
      </c>
      <c r="E123" s="58">
        <v>10</v>
      </c>
      <c r="F123" s="57">
        <v>8.1</v>
      </c>
      <c r="G123" s="58"/>
      <c r="H123" s="57"/>
      <c r="I123" s="59"/>
      <c r="J123" s="57"/>
      <c r="K123" s="59"/>
      <c r="L123" s="57"/>
      <c r="M123" s="59"/>
      <c r="N123" s="57"/>
      <c r="O123" s="59"/>
      <c r="P123" s="37"/>
      <c r="Q123" s="37"/>
    </row>
    <row r="124" spans="1:17" ht="13.5" customHeight="1" x14ac:dyDescent="0.2">
      <c r="A124" s="69"/>
      <c r="B124" s="71" t="s">
        <v>30</v>
      </c>
      <c r="C124" s="71"/>
      <c r="D124" s="57">
        <v>30</v>
      </c>
      <c r="E124" s="58">
        <v>12.2</v>
      </c>
      <c r="F124" s="57">
        <v>18.5</v>
      </c>
      <c r="G124" s="58">
        <v>24.5</v>
      </c>
      <c r="H124" s="57"/>
      <c r="I124" s="59"/>
      <c r="J124" s="57"/>
      <c r="K124" s="59"/>
      <c r="L124" s="57"/>
      <c r="M124" s="59"/>
      <c r="N124" s="57"/>
      <c r="O124" s="59"/>
      <c r="P124" s="37"/>
      <c r="Q124" s="37"/>
    </row>
    <row r="125" spans="1:17" ht="13.5" customHeight="1" x14ac:dyDescent="0.2">
      <c r="A125" s="69"/>
      <c r="B125" s="71" t="s">
        <v>31</v>
      </c>
      <c r="C125" s="71"/>
      <c r="D125" s="57">
        <v>9.8000000000000007</v>
      </c>
      <c r="E125" s="58">
        <v>13</v>
      </c>
      <c r="F125" s="57">
        <v>13.2</v>
      </c>
      <c r="G125" s="58">
        <v>15.5</v>
      </c>
      <c r="H125" s="57">
        <v>15.5</v>
      </c>
      <c r="I125" s="59">
        <v>19.12</v>
      </c>
      <c r="J125" s="57">
        <v>22.65</v>
      </c>
      <c r="K125" s="59">
        <v>24.86</v>
      </c>
      <c r="L125" s="57">
        <v>26.27</v>
      </c>
      <c r="M125" s="59">
        <v>56.46</v>
      </c>
      <c r="N125" s="57">
        <v>47.6</v>
      </c>
      <c r="O125" s="59">
        <v>43.1</v>
      </c>
      <c r="P125" s="37"/>
      <c r="Q125" s="37"/>
    </row>
    <row r="126" spans="1:17" ht="13.5" customHeight="1" x14ac:dyDescent="0.2">
      <c r="A126" s="69"/>
      <c r="B126" s="71" t="s">
        <v>32</v>
      </c>
      <c r="C126" s="71"/>
      <c r="D126" s="57">
        <v>3.6</v>
      </c>
      <c r="E126" s="58"/>
      <c r="F126" s="57">
        <v>4.9000000000000004</v>
      </c>
      <c r="G126" s="58">
        <v>5.8</v>
      </c>
      <c r="H126" s="57">
        <v>5.7201500000000003</v>
      </c>
      <c r="I126" s="59"/>
      <c r="J126" s="57"/>
      <c r="K126" s="59"/>
      <c r="L126" s="57">
        <v>6.5279499999999997</v>
      </c>
      <c r="M126" s="59">
        <v>6.4889999999999999</v>
      </c>
      <c r="N126" s="57">
        <v>5.7</v>
      </c>
      <c r="O126" s="59">
        <v>5.3</v>
      </c>
      <c r="P126" s="37"/>
      <c r="Q126" s="37"/>
    </row>
    <row r="127" spans="1:17" ht="13.5" customHeight="1" x14ac:dyDescent="0.2">
      <c r="A127" s="60"/>
      <c r="B127" s="71" t="s">
        <v>150</v>
      </c>
      <c r="C127" s="72"/>
      <c r="D127" s="57"/>
      <c r="E127" s="58"/>
      <c r="F127" s="57"/>
      <c r="G127" s="58"/>
      <c r="H127" s="57"/>
      <c r="I127" s="59"/>
      <c r="J127" s="57">
        <f>29.2061</f>
        <v>29.206099999999999</v>
      </c>
      <c r="K127" s="59">
        <v>80.932699999999997</v>
      </c>
      <c r="L127" s="57">
        <v>44.870620000000002</v>
      </c>
      <c r="M127" s="59"/>
      <c r="N127" s="57">
        <v>17</v>
      </c>
      <c r="O127" s="59">
        <v>44.7</v>
      </c>
      <c r="P127" s="37"/>
      <c r="Q127" s="37"/>
    </row>
    <row r="128" spans="1:17" ht="13.5" customHeight="1" x14ac:dyDescent="0.2">
      <c r="A128" s="69"/>
      <c r="B128" s="55" t="s">
        <v>134</v>
      </c>
      <c r="C128" s="71"/>
      <c r="D128" s="57">
        <v>17.5</v>
      </c>
      <c r="E128" s="58"/>
      <c r="F128" s="57"/>
      <c r="G128" s="58"/>
      <c r="H128" s="57"/>
      <c r="I128" s="59"/>
      <c r="J128" s="57">
        <v>3.5919289999999999</v>
      </c>
      <c r="K128" s="59">
        <v>7.3452679999999999</v>
      </c>
      <c r="L128" s="57">
        <v>3.8891439999999999</v>
      </c>
      <c r="M128" s="59">
        <f>3.342657-0.832029</f>
        <v>2.5106280000000001</v>
      </c>
      <c r="N128" s="57">
        <v>6.1</v>
      </c>
      <c r="O128" s="59">
        <v>3.3</v>
      </c>
      <c r="P128" s="37"/>
      <c r="Q128" s="37"/>
    </row>
    <row r="129" spans="1:17" ht="13.5" customHeight="1" x14ac:dyDescent="0.2">
      <c r="A129" s="69"/>
      <c r="B129" s="69" t="s">
        <v>138</v>
      </c>
      <c r="C129" s="71"/>
      <c r="D129" s="57"/>
      <c r="E129" s="58"/>
      <c r="F129" s="57"/>
      <c r="G129" s="58"/>
      <c r="H129" s="57"/>
      <c r="I129" s="59"/>
      <c r="J129" s="57">
        <v>2.6594709999999999</v>
      </c>
      <c r="K129" s="59">
        <v>1.7120390000000001</v>
      </c>
      <c r="L129" s="57">
        <v>0.50255899999999998</v>
      </c>
      <c r="M129" s="59"/>
      <c r="N129" s="57"/>
      <c r="O129" s="59"/>
      <c r="P129" s="37"/>
      <c r="Q129" s="37"/>
    </row>
    <row r="130" spans="1:17" ht="13.5" customHeight="1" x14ac:dyDescent="0.2">
      <c r="A130" s="60"/>
      <c r="B130" s="71" t="s">
        <v>33</v>
      </c>
      <c r="C130" s="71"/>
      <c r="D130" s="57">
        <v>4.9000000000000004</v>
      </c>
      <c r="E130" s="58">
        <v>3.7</v>
      </c>
      <c r="F130" s="57">
        <v>5.6</v>
      </c>
      <c r="G130" s="58"/>
      <c r="H130" s="57"/>
      <c r="I130" s="59"/>
      <c r="J130" s="57"/>
      <c r="K130" s="59"/>
      <c r="L130" s="57"/>
      <c r="M130" s="59"/>
      <c r="N130" s="57"/>
      <c r="O130" s="59"/>
      <c r="P130" s="52"/>
      <c r="Q130" s="37"/>
    </row>
    <row r="131" spans="1:17" ht="16.5" customHeight="1" x14ac:dyDescent="0.2">
      <c r="A131" s="15" t="s">
        <v>96</v>
      </c>
      <c r="B131" s="24"/>
      <c r="C131" s="16"/>
      <c r="D131" s="27">
        <f t="shared" ref="D131:J131" si="8">SUM(D132:D158)</f>
        <v>64.5</v>
      </c>
      <c r="E131" s="17">
        <f t="shared" si="8"/>
        <v>117.80000000000001</v>
      </c>
      <c r="F131" s="27">
        <f t="shared" si="8"/>
        <v>140.20000000000002</v>
      </c>
      <c r="G131" s="17">
        <f t="shared" si="8"/>
        <v>227.8</v>
      </c>
      <c r="H131" s="27">
        <f t="shared" si="8"/>
        <v>70.223393000000002</v>
      </c>
      <c r="I131" s="31">
        <f t="shared" si="8"/>
        <v>152.07088099999999</v>
      </c>
      <c r="J131" s="27">
        <f t="shared" si="8"/>
        <v>146.96527346000002</v>
      </c>
      <c r="K131" s="31">
        <f>SUM(K132:K158)</f>
        <v>189.46513400000001</v>
      </c>
      <c r="L131" s="27">
        <f>SUM(L132:L158)</f>
        <v>200.34291008</v>
      </c>
      <c r="M131" s="31">
        <f>SUM(M132:M158)</f>
        <v>206.48775699999999</v>
      </c>
      <c r="N131" s="27">
        <f>SUM(N132:N159)</f>
        <v>241.5</v>
      </c>
      <c r="O131" s="31">
        <f>SUM(O132:O158)</f>
        <v>119.84625500000001</v>
      </c>
      <c r="P131" s="39"/>
      <c r="Q131" s="39"/>
    </row>
    <row r="132" spans="1:17" ht="14.25" customHeight="1" x14ac:dyDescent="0.2">
      <c r="A132" s="55" t="s">
        <v>34</v>
      </c>
      <c r="B132" s="73"/>
      <c r="C132" s="56"/>
      <c r="D132" s="57">
        <v>30.5</v>
      </c>
      <c r="E132" s="58"/>
      <c r="F132" s="57">
        <v>35</v>
      </c>
      <c r="G132" s="58">
        <v>134.30000000000001</v>
      </c>
      <c r="H132" s="57">
        <v>18.600000000000001</v>
      </c>
      <c r="I132" s="59">
        <v>64</v>
      </c>
      <c r="J132" s="57">
        <v>41.587949999999999</v>
      </c>
      <c r="K132" s="59">
        <v>30.2</v>
      </c>
      <c r="L132" s="57">
        <v>31</v>
      </c>
      <c r="M132" s="59">
        <v>31</v>
      </c>
      <c r="N132" s="57"/>
      <c r="O132" s="59"/>
      <c r="P132" s="37"/>
      <c r="Q132" s="52"/>
    </row>
    <row r="133" spans="1:17" ht="14.25" customHeight="1" x14ac:dyDescent="0.2">
      <c r="A133" s="55" t="s">
        <v>35</v>
      </c>
      <c r="B133" s="56"/>
      <c r="C133" s="74"/>
      <c r="D133" s="57">
        <v>5</v>
      </c>
      <c r="E133" s="58">
        <v>35</v>
      </c>
      <c r="F133" s="57">
        <v>18.399999999999999</v>
      </c>
      <c r="G133" s="58">
        <v>0</v>
      </c>
      <c r="H133" s="57"/>
      <c r="I133" s="59"/>
      <c r="J133" s="57"/>
      <c r="K133" s="59"/>
      <c r="L133" s="57"/>
      <c r="M133" s="59"/>
      <c r="N133" s="57"/>
      <c r="O133" s="59"/>
      <c r="P133" s="37"/>
      <c r="Q133" s="52"/>
    </row>
    <row r="134" spans="1:17" ht="14.25" customHeight="1" x14ac:dyDescent="0.2">
      <c r="A134" s="55" t="s">
        <v>36</v>
      </c>
      <c r="B134" s="74"/>
      <c r="C134" s="74"/>
      <c r="D134" s="57">
        <v>8.1</v>
      </c>
      <c r="E134" s="58">
        <v>27</v>
      </c>
      <c r="F134" s="57">
        <v>26.1</v>
      </c>
      <c r="G134" s="58">
        <v>27.5</v>
      </c>
      <c r="H134" s="57">
        <v>17.353293000000001</v>
      </c>
      <c r="I134" s="59">
        <v>8.3788579999999993</v>
      </c>
      <c r="J134" s="57"/>
      <c r="K134" s="59"/>
      <c r="L134" s="57"/>
      <c r="M134" s="59"/>
      <c r="N134" s="57"/>
      <c r="O134" s="59"/>
      <c r="P134" s="37"/>
      <c r="Q134" s="52"/>
    </row>
    <row r="135" spans="1:17" ht="14.25" customHeight="1" x14ac:dyDescent="0.2">
      <c r="A135" s="71" t="s">
        <v>37</v>
      </c>
      <c r="B135" s="74"/>
      <c r="C135" s="56"/>
      <c r="D135" s="75"/>
      <c r="E135" s="58">
        <v>10.199999999999999</v>
      </c>
      <c r="F135" s="75"/>
      <c r="G135" s="58"/>
      <c r="H135" s="57"/>
      <c r="I135" s="59"/>
      <c r="J135" s="57"/>
      <c r="K135" s="59"/>
      <c r="L135" s="57"/>
      <c r="M135" s="59"/>
      <c r="N135" s="57"/>
      <c r="O135" s="59"/>
      <c r="P135" s="37"/>
      <c r="Q135" s="52"/>
    </row>
    <row r="136" spans="1:17" ht="14.25" customHeight="1" x14ac:dyDescent="0.2">
      <c r="A136" s="55" t="s">
        <v>38</v>
      </c>
      <c r="B136" s="56"/>
      <c r="C136" s="74"/>
      <c r="D136" s="57">
        <v>3.5</v>
      </c>
      <c r="E136" s="58">
        <v>3</v>
      </c>
      <c r="F136" s="57">
        <v>3</v>
      </c>
      <c r="G136" s="58"/>
      <c r="H136" s="57"/>
      <c r="I136" s="59"/>
      <c r="J136" s="57"/>
      <c r="K136" s="59"/>
      <c r="L136" s="57"/>
      <c r="M136" s="59"/>
      <c r="N136" s="57"/>
      <c r="O136" s="59"/>
      <c r="P136" s="52"/>
      <c r="Q136" s="52"/>
    </row>
    <row r="137" spans="1:17" ht="14.25" customHeight="1" x14ac:dyDescent="0.2">
      <c r="A137" s="55" t="s">
        <v>39</v>
      </c>
      <c r="B137" s="74"/>
      <c r="C137" s="74"/>
      <c r="D137" s="57">
        <v>14</v>
      </c>
      <c r="E137" s="58">
        <v>12.5</v>
      </c>
      <c r="F137" s="57">
        <v>24.4</v>
      </c>
      <c r="G137" s="58"/>
      <c r="H137" s="57"/>
      <c r="I137" s="59"/>
      <c r="J137" s="57"/>
      <c r="K137" s="59">
        <v>5.8691000000000004</v>
      </c>
      <c r="L137" s="57"/>
      <c r="M137" s="59"/>
      <c r="N137" s="57"/>
      <c r="O137" s="59"/>
      <c r="P137" s="37"/>
      <c r="Q137" s="52"/>
    </row>
    <row r="138" spans="1:17" ht="14.25" customHeight="1" x14ac:dyDescent="0.2">
      <c r="A138" s="55" t="s">
        <v>40</v>
      </c>
      <c r="B138" s="74"/>
      <c r="C138" s="56"/>
      <c r="D138" s="57"/>
      <c r="E138" s="58">
        <v>6.2</v>
      </c>
      <c r="F138" s="57">
        <v>18.5</v>
      </c>
      <c r="G138" s="58">
        <v>1.2</v>
      </c>
      <c r="H138" s="57">
        <v>1.2103999999999999</v>
      </c>
      <c r="I138" s="59">
        <v>2.9042500000000002</v>
      </c>
      <c r="J138" s="57">
        <v>3.1419999999999999</v>
      </c>
      <c r="K138" s="59"/>
      <c r="L138" s="57"/>
      <c r="M138" s="59"/>
      <c r="N138" s="57"/>
      <c r="O138" s="59"/>
      <c r="P138" s="37"/>
      <c r="Q138" s="52"/>
    </row>
    <row r="139" spans="1:17" ht="14.25" customHeight="1" x14ac:dyDescent="0.2">
      <c r="A139" s="55" t="s">
        <v>142</v>
      </c>
      <c r="B139" s="56"/>
      <c r="C139" s="56"/>
      <c r="D139" s="57">
        <v>3.4</v>
      </c>
      <c r="E139" s="58">
        <v>3.9</v>
      </c>
      <c r="F139" s="57">
        <v>14.8</v>
      </c>
      <c r="G139" s="58"/>
      <c r="H139" s="57">
        <v>10.541700000000001</v>
      </c>
      <c r="I139" s="59">
        <v>10</v>
      </c>
      <c r="J139" s="57">
        <v>10</v>
      </c>
      <c r="K139" s="59">
        <v>10</v>
      </c>
      <c r="L139" s="57">
        <v>10</v>
      </c>
      <c r="M139" s="59">
        <v>10</v>
      </c>
      <c r="N139" s="57">
        <v>10</v>
      </c>
      <c r="O139" s="59">
        <v>10</v>
      </c>
      <c r="P139" s="37"/>
      <c r="Q139" s="52"/>
    </row>
    <row r="140" spans="1:17" ht="14.25" customHeight="1" x14ac:dyDescent="0.2">
      <c r="A140" s="55" t="s">
        <v>168</v>
      </c>
      <c r="B140" s="56"/>
      <c r="C140" s="56"/>
      <c r="D140" s="57"/>
      <c r="E140" s="58"/>
      <c r="F140" s="57"/>
      <c r="G140" s="58"/>
      <c r="H140" s="57"/>
      <c r="I140" s="59"/>
      <c r="J140" s="57"/>
      <c r="K140" s="59">
        <v>1.8201000000000001</v>
      </c>
      <c r="L140" s="57"/>
      <c r="M140" s="59"/>
      <c r="N140" s="57"/>
      <c r="O140" s="59"/>
      <c r="P140" s="37"/>
      <c r="Q140" s="52"/>
    </row>
    <row r="141" spans="1:17" ht="14.25" customHeight="1" x14ac:dyDescent="0.2">
      <c r="A141" s="55" t="s">
        <v>157</v>
      </c>
      <c r="B141" s="56"/>
      <c r="C141" s="56"/>
      <c r="D141" s="57"/>
      <c r="E141" s="58"/>
      <c r="F141" s="57"/>
      <c r="G141" s="58"/>
      <c r="H141" s="57"/>
      <c r="I141" s="59"/>
      <c r="J141" s="57">
        <v>23.93195446</v>
      </c>
      <c r="K141" s="59">
        <v>24.702316</v>
      </c>
      <c r="L141" s="57">
        <v>23.450106680000001</v>
      </c>
      <c r="M141" s="59">
        <f>0.74*45.3</f>
        <v>33.521999999999998</v>
      </c>
      <c r="N141" s="57">
        <v>23.1</v>
      </c>
      <c r="O141" s="59">
        <v>31.2</v>
      </c>
      <c r="P141" s="37"/>
      <c r="Q141" s="52"/>
    </row>
    <row r="142" spans="1:17" ht="14.25" customHeight="1" x14ac:dyDescent="0.2">
      <c r="A142" s="55" t="s">
        <v>174</v>
      </c>
      <c r="B142" s="56"/>
      <c r="C142" s="56"/>
      <c r="D142" s="57"/>
      <c r="E142" s="58"/>
      <c r="F142" s="57"/>
      <c r="G142" s="58"/>
      <c r="H142" s="57"/>
      <c r="I142" s="59"/>
      <c r="J142" s="57"/>
      <c r="K142" s="59"/>
      <c r="L142" s="57">
        <v>6.6654960000000001</v>
      </c>
      <c r="M142" s="59">
        <f>5.90146+0.023079</f>
        <v>5.9245390000000002</v>
      </c>
      <c r="N142" s="57"/>
      <c r="O142" s="59">
        <v>3.7</v>
      </c>
      <c r="P142" s="37"/>
      <c r="Q142" s="52"/>
    </row>
    <row r="143" spans="1:17" ht="14.25" customHeight="1" x14ac:dyDescent="0.2">
      <c r="A143" s="55" t="s">
        <v>175</v>
      </c>
      <c r="B143" s="56"/>
      <c r="C143" s="56"/>
      <c r="D143" s="57"/>
      <c r="E143" s="58"/>
      <c r="F143" s="57"/>
      <c r="G143" s="58"/>
      <c r="H143" s="57"/>
      <c r="I143" s="59"/>
      <c r="J143" s="57"/>
      <c r="K143" s="59"/>
      <c r="L143" s="57">
        <v>13.996216</v>
      </c>
      <c r="M143" s="59"/>
      <c r="N143" s="57"/>
      <c r="O143" s="59"/>
      <c r="P143" s="37"/>
      <c r="Q143" s="52"/>
    </row>
    <row r="144" spans="1:17" ht="14.25" customHeight="1" x14ac:dyDescent="0.2">
      <c r="A144" s="55" t="s">
        <v>189</v>
      </c>
      <c r="B144" s="56"/>
      <c r="C144" s="56"/>
      <c r="D144" s="57"/>
      <c r="E144" s="58"/>
      <c r="F144" s="57"/>
      <c r="G144" s="58"/>
      <c r="H144" s="57"/>
      <c r="I144" s="59"/>
      <c r="J144" s="57"/>
      <c r="K144" s="59"/>
      <c r="L144" s="57"/>
      <c r="M144" s="59">
        <v>7.0845000000000002</v>
      </c>
      <c r="N144" s="57"/>
      <c r="O144" s="59"/>
      <c r="P144" s="37"/>
      <c r="Q144" s="52"/>
    </row>
    <row r="145" spans="1:17" ht="14.25" customHeight="1" x14ac:dyDescent="0.2">
      <c r="A145" s="55" t="s">
        <v>101</v>
      </c>
      <c r="B145" s="56"/>
      <c r="C145" s="56"/>
      <c r="D145" s="57"/>
      <c r="E145" s="58"/>
      <c r="F145" s="57"/>
      <c r="G145" s="58"/>
      <c r="H145" s="57"/>
      <c r="I145" s="59">
        <v>6.0361190000000002</v>
      </c>
      <c r="J145" s="57">
        <f>1.255+0.641018</f>
        <v>1.8960179999999998</v>
      </c>
      <c r="K145" s="59">
        <v>2.529487</v>
      </c>
      <c r="L145" s="57">
        <v>8.5</v>
      </c>
      <c r="M145" s="59">
        <f>6+1.502242</f>
        <v>7.5022419999999999</v>
      </c>
      <c r="N145" s="57"/>
      <c r="O145" s="59"/>
      <c r="P145" s="52"/>
      <c r="Q145" s="52"/>
    </row>
    <row r="146" spans="1:17" ht="14.25" customHeight="1" x14ac:dyDescent="0.2">
      <c r="A146" s="55" t="s">
        <v>170</v>
      </c>
      <c r="B146" s="56"/>
      <c r="C146" s="56"/>
      <c r="D146" s="57"/>
      <c r="E146" s="58"/>
      <c r="F146" s="57"/>
      <c r="G146" s="58"/>
      <c r="H146" s="57"/>
      <c r="I146" s="59"/>
      <c r="J146" s="57"/>
      <c r="K146" s="59">
        <v>32.576341999999997</v>
      </c>
      <c r="L146" s="57">
        <v>28.909364400000001</v>
      </c>
      <c r="M146" s="59">
        <f>0.4*72.1</f>
        <v>28.84</v>
      </c>
      <c r="N146" s="57">
        <v>26.6</v>
      </c>
      <c r="O146" s="59">
        <v>26.6</v>
      </c>
      <c r="P146" s="52"/>
      <c r="Q146" s="52"/>
    </row>
    <row r="147" spans="1:17" ht="14.25" customHeight="1" x14ac:dyDescent="0.2">
      <c r="A147" s="55" t="s">
        <v>171</v>
      </c>
      <c r="B147" s="56"/>
      <c r="C147" s="56"/>
      <c r="D147" s="57"/>
      <c r="E147" s="58"/>
      <c r="F147" s="57"/>
      <c r="G147" s="58"/>
      <c r="H147" s="57"/>
      <c r="I147" s="59"/>
      <c r="J147" s="57"/>
      <c r="K147" s="59">
        <v>16.786489</v>
      </c>
      <c r="L147" s="57">
        <v>18.620450999999999</v>
      </c>
      <c r="M147" s="59">
        <v>17.448754999999998</v>
      </c>
      <c r="N147" s="57">
        <v>2.2999999999999998</v>
      </c>
      <c r="O147" s="59">
        <v>17.448754999999998</v>
      </c>
      <c r="P147" s="52"/>
      <c r="Q147" s="52"/>
    </row>
    <row r="148" spans="1:17" ht="14.25" customHeight="1" x14ac:dyDescent="0.2">
      <c r="A148" s="55" t="s">
        <v>179</v>
      </c>
      <c r="B148" s="56"/>
      <c r="C148" s="56"/>
      <c r="D148" s="57"/>
      <c r="E148" s="58"/>
      <c r="F148" s="57"/>
      <c r="G148" s="58"/>
      <c r="H148" s="57"/>
      <c r="I148" s="59"/>
      <c r="J148" s="57"/>
      <c r="K148" s="59"/>
      <c r="L148" s="57">
        <v>1.602851</v>
      </c>
      <c r="M148" s="59">
        <v>1.691146</v>
      </c>
      <c r="N148" s="57">
        <v>1.5</v>
      </c>
      <c r="O148" s="59">
        <v>1.4</v>
      </c>
      <c r="P148" s="52"/>
      <c r="Q148" s="52"/>
    </row>
    <row r="149" spans="1:17" ht="14.25" customHeight="1" x14ac:dyDescent="0.2">
      <c r="A149" s="55" t="s">
        <v>177</v>
      </c>
      <c r="B149" s="56"/>
      <c r="C149" s="56"/>
      <c r="D149" s="57"/>
      <c r="E149" s="58"/>
      <c r="F149" s="57"/>
      <c r="G149" s="58"/>
      <c r="H149" s="57"/>
      <c r="I149" s="59"/>
      <c r="J149" s="57"/>
      <c r="K149" s="59"/>
      <c r="L149" s="57">
        <v>19.81035</v>
      </c>
      <c r="M149" s="59">
        <v>19.5975</v>
      </c>
      <c r="N149" s="57">
        <v>23</v>
      </c>
      <c r="O149" s="59">
        <v>19.5975</v>
      </c>
      <c r="P149" s="52"/>
      <c r="Q149" s="52"/>
    </row>
    <row r="150" spans="1:17" ht="14.25" customHeight="1" x14ac:dyDescent="0.2">
      <c r="A150" s="55" t="s">
        <v>129</v>
      </c>
      <c r="B150" s="56"/>
      <c r="C150" s="56"/>
      <c r="D150" s="57"/>
      <c r="E150" s="58"/>
      <c r="F150" s="57"/>
      <c r="G150" s="58"/>
      <c r="H150" s="57"/>
      <c r="I150" s="59">
        <v>4.9095000000000004</v>
      </c>
      <c r="J150" s="57">
        <f>1.2577+5.0251</f>
        <v>6.2827999999999999</v>
      </c>
      <c r="K150" s="59">
        <v>5.8691000000000004</v>
      </c>
      <c r="L150" s="57">
        <v>6.5344499999999996</v>
      </c>
      <c r="M150" s="59"/>
      <c r="N150" s="57"/>
      <c r="O150" s="59"/>
      <c r="P150" s="37"/>
      <c r="Q150" s="37"/>
    </row>
    <row r="151" spans="1:17" ht="14.25" customHeight="1" x14ac:dyDescent="0.2">
      <c r="A151" s="55" t="s">
        <v>130</v>
      </c>
      <c r="B151" s="56"/>
      <c r="C151" s="56"/>
      <c r="D151" s="57"/>
      <c r="E151" s="58"/>
      <c r="F151" s="57"/>
      <c r="G151" s="58"/>
      <c r="H151" s="57"/>
      <c r="I151" s="59">
        <v>17.128499999999999</v>
      </c>
      <c r="J151" s="57">
        <v>1.2869870000000001</v>
      </c>
      <c r="K151" s="59"/>
      <c r="L151" s="57"/>
      <c r="M151" s="59"/>
      <c r="N151" s="57"/>
      <c r="O151" s="59"/>
      <c r="P151" s="37"/>
      <c r="Q151" s="37"/>
    </row>
    <row r="152" spans="1:17" ht="14.25" customHeight="1" x14ac:dyDescent="0.2">
      <c r="A152" s="55" t="s">
        <v>131</v>
      </c>
      <c r="B152" s="56"/>
      <c r="C152" s="56"/>
      <c r="D152" s="57"/>
      <c r="E152" s="58"/>
      <c r="F152" s="57"/>
      <c r="G152" s="58"/>
      <c r="H152" s="57"/>
      <c r="I152" s="59">
        <v>16.412789</v>
      </c>
      <c r="J152" s="57">
        <v>19.460850000000001</v>
      </c>
      <c r="K152" s="59">
        <v>23.130099999999999</v>
      </c>
      <c r="L152" s="57">
        <v>19.600349999999999</v>
      </c>
      <c r="M152" s="59">
        <v>19.5975</v>
      </c>
      <c r="N152" s="57">
        <v>11.3</v>
      </c>
      <c r="O152" s="59">
        <v>9.9</v>
      </c>
      <c r="P152" s="37"/>
      <c r="Q152" s="37"/>
    </row>
    <row r="153" spans="1:17" ht="14.25" customHeight="1" x14ac:dyDescent="0.2">
      <c r="A153" s="55" t="s">
        <v>132</v>
      </c>
      <c r="B153" s="56"/>
      <c r="C153" s="56"/>
      <c r="D153" s="57"/>
      <c r="E153" s="58"/>
      <c r="F153" s="57"/>
      <c r="G153" s="58"/>
      <c r="H153" s="57"/>
      <c r="I153" s="59">
        <v>3.1908650000000001</v>
      </c>
      <c r="J153" s="57"/>
      <c r="K153" s="59"/>
      <c r="L153" s="57"/>
      <c r="M153" s="59"/>
      <c r="N153" s="57"/>
      <c r="O153" s="59"/>
      <c r="P153" s="37"/>
      <c r="Q153" s="52"/>
    </row>
    <row r="154" spans="1:17" ht="14.25" customHeight="1" x14ac:dyDescent="0.2">
      <c r="A154" s="55" t="s">
        <v>143</v>
      </c>
      <c r="B154" s="56"/>
      <c r="C154" s="56"/>
      <c r="D154" s="57"/>
      <c r="E154" s="58"/>
      <c r="F154" s="57"/>
      <c r="G154" s="58"/>
      <c r="H154" s="57"/>
      <c r="I154" s="59"/>
      <c r="J154" s="57">
        <f>19.35585+19.35585</f>
        <v>38.7117</v>
      </c>
      <c r="K154" s="59">
        <v>11.6387</v>
      </c>
      <c r="L154" s="57"/>
      <c r="M154" s="59">
        <v>13.150399999999999</v>
      </c>
      <c r="N154" s="57"/>
      <c r="O154" s="59"/>
      <c r="P154" s="37"/>
      <c r="Q154" s="37"/>
    </row>
    <row r="155" spans="1:17" ht="14.25" customHeight="1" x14ac:dyDescent="0.2">
      <c r="A155" s="55" t="s">
        <v>163</v>
      </c>
      <c r="B155" s="56"/>
      <c r="C155" s="56"/>
      <c r="D155" s="57"/>
      <c r="E155" s="58"/>
      <c r="F155" s="57"/>
      <c r="G155" s="58"/>
      <c r="H155" s="57"/>
      <c r="I155" s="59"/>
      <c r="J155" s="57"/>
      <c r="K155" s="59">
        <v>0.5</v>
      </c>
      <c r="L155" s="57"/>
      <c r="M155" s="59"/>
      <c r="N155" s="57"/>
      <c r="O155" s="59"/>
      <c r="P155" s="37"/>
      <c r="Q155" s="37"/>
    </row>
    <row r="156" spans="1:17" ht="14.25" customHeight="1" x14ac:dyDescent="0.2">
      <c r="A156" s="55" t="s">
        <v>114</v>
      </c>
      <c r="B156" s="56"/>
      <c r="C156" s="56"/>
      <c r="D156" s="57"/>
      <c r="E156" s="58"/>
      <c r="F156" s="57"/>
      <c r="G156" s="58"/>
      <c r="H156" s="57"/>
      <c r="I156" s="59">
        <v>3.0590000000000002</v>
      </c>
      <c r="J156" s="57"/>
      <c r="K156" s="59"/>
      <c r="L156" s="57"/>
      <c r="M156" s="59"/>
      <c r="N156" s="57"/>
      <c r="O156" s="59"/>
      <c r="P156" s="37"/>
      <c r="Q156" s="37"/>
    </row>
    <row r="157" spans="1:17" ht="14.25" customHeight="1" x14ac:dyDescent="0.2">
      <c r="A157" s="55" t="s">
        <v>139</v>
      </c>
      <c r="B157" s="56"/>
      <c r="C157" s="56"/>
      <c r="D157" s="57"/>
      <c r="E157" s="58"/>
      <c r="F157" s="57"/>
      <c r="G157" s="58"/>
      <c r="H157" s="57"/>
      <c r="I157" s="59"/>
      <c r="J157" s="57">
        <v>0.66501399999999999</v>
      </c>
      <c r="K157" s="59"/>
      <c r="L157" s="57"/>
      <c r="M157" s="59"/>
      <c r="N157" s="57"/>
      <c r="O157" s="59"/>
      <c r="P157" s="53"/>
      <c r="Q157" s="53"/>
    </row>
    <row r="158" spans="1:17" ht="14.25" customHeight="1" x14ac:dyDescent="0.2">
      <c r="A158" s="55" t="s">
        <v>41</v>
      </c>
      <c r="B158" s="56"/>
      <c r="C158" s="56"/>
      <c r="D158" s="57"/>
      <c r="E158" s="58">
        <v>20</v>
      </c>
      <c r="F158" s="57"/>
      <c r="G158" s="58">
        <v>64.8</v>
      </c>
      <c r="H158" s="57">
        <v>22.518000000000001</v>
      </c>
      <c r="I158" s="59">
        <v>16.050999999999998</v>
      </c>
      <c r="J158" s="57"/>
      <c r="K158" s="59">
        <v>23.843399999999999</v>
      </c>
      <c r="L158" s="57">
        <v>11.653275000000001</v>
      </c>
      <c r="M158" s="59">
        <v>11.129175</v>
      </c>
      <c r="N158" s="57"/>
      <c r="O158" s="59"/>
      <c r="P158" s="42"/>
      <c r="Q158" s="42"/>
    </row>
    <row r="159" spans="1:17" ht="14.25" customHeight="1" x14ac:dyDescent="0.2">
      <c r="A159" s="55" t="s">
        <v>193</v>
      </c>
      <c r="B159" s="56"/>
      <c r="C159" s="56"/>
      <c r="D159" s="57"/>
      <c r="E159" s="58"/>
      <c r="F159" s="57"/>
      <c r="G159" s="58"/>
      <c r="H159" s="57"/>
      <c r="I159" s="59"/>
      <c r="J159" s="57"/>
      <c r="K159" s="59"/>
      <c r="L159" s="57"/>
      <c r="M159" s="59"/>
      <c r="N159" s="57">
        <v>143.69999999999999</v>
      </c>
      <c r="O159" s="59">
        <v>63.6</v>
      </c>
      <c r="P159" s="42"/>
      <c r="Q159" s="42"/>
    </row>
    <row r="160" spans="1:17" ht="25.5" customHeight="1" thickBot="1" x14ac:dyDescent="0.25">
      <c r="A160" s="18" t="s">
        <v>9</v>
      </c>
      <c r="B160" s="22"/>
      <c r="C160" s="19"/>
      <c r="D160" s="25">
        <f>SUM(D161:D170)+D171+SUM(D189:D200)</f>
        <v>302.39999999999998</v>
      </c>
      <c r="E160" s="20">
        <f>SUM(E161:E170)+E171+SUM(E189:E200)</f>
        <v>528.69999999999993</v>
      </c>
      <c r="F160" s="25">
        <f>SUM(F161:F170)+F171+SUM(F189:F200)</f>
        <v>792.09999999999991</v>
      </c>
      <c r="G160" s="20">
        <f>SUM(G161:G170)+G171+SUM(G189:G200)</f>
        <v>829.8</v>
      </c>
      <c r="H160" s="25">
        <f>SUM(H161:H170)+H171+SUM(H189:H200)</f>
        <v>641.65665200000001</v>
      </c>
      <c r="I160" s="32">
        <f>SUM(I161:I170)+SUM(I172:I182)+SUM(I189:I200)</f>
        <v>638.72391799999991</v>
      </c>
      <c r="J160" s="25">
        <f t="shared" ref="J160:O160" si="9">SUM(J161:J170)+J171+SUM(J189:J200)</f>
        <v>792.53506100000004</v>
      </c>
      <c r="K160" s="32">
        <f t="shared" si="9"/>
        <v>1023.7815949999999</v>
      </c>
      <c r="L160" s="25">
        <f t="shared" si="9"/>
        <v>1318.63681</v>
      </c>
      <c r="M160" s="32">
        <f t="shared" si="9"/>
        <v>1610.4074909999999</v>
      </c>
      <c r="N160" s="25">
        <f t="shared" si="9"/>
        <v>3070.9</v>
      </c>
      <c r="O160" s="32">
        <f t="shared" si="9"/>
        <v>3776.9</v>
      </c>
      <c r="P160" s="33"/>
      <c r="Q160" s="33"/>
    </row>
    <row r="161" spans="1:17" ht="13.5" customHeight="1" x14ac:dyDescent="0.2">
      <c r="A161" s="76" t="s">
        <v>136</v>
      </c>
      <c r="B161" s="77"/>
      <c r="C161" s="76"/>
      <c r="D161" s="78">
        <v>114</v>
      </c>
      <c r="E161" s="79">
        <v>149.4</v>
      </c>
      <c r="F161" s="78">
        <v>206.3</v>
      </c>
      <c r="G161" s="79">
        <v>220.4</v>
      </c>
      <c r="H161" s="78">
        <v>194.2</v>
      </c>
      <c r="I161" s="80">
        <v>187.85603900000001</v>
      </c>
      <c r="J161" s="78">
        <v>243.158672</v>
      </c>
      <c r="K161" s="80">
        <v>250.62304800000001</v>
      </c>
      <c r="L161" s="78">
        <v>213.735636</v>
      </c>
      <c r="M161" s="80">
        <v>214.9</v>
      </c>
      <c r="N161" s="78">
        <v>214.2</v>
      </c>
      <c r="O161" s="80">
        <v>234.2</v>
      </c>
      <c r="P161" s="43"/>
      <c r="Q161" s="43"/>
    </row>
    <row r="162" spans="1:17" ht="13.5" customHeight="1" x14ac:dyDescent="0.2">
      <c r="A162" s="55" t="s">
        <v>42</v>
      </c>
      <c r="B162" s="81"/>
      <c r="C162" s="55"/>
      <c r="D162" s="57">
        <v>87.2</v>
      </c>
      <c r="E162" s="58">
        <v>119.3</v>
      </c>
      <c r="F162" s="57">
        <v>154.5</v>
      </c>
      <c r="G162" s="58">
        <v>174</v>
      </c>
      <c r="H162" s="57">
        <v>152.4</v>
      </c>
      <c r="I162" s="59">
        <v>157.30000000000001</v>
      </c>
      <c r="J162" s="57">
        <v>155.4</v>
      </c>
      <c r="K162" s="59">
        <v>211.7</v>
      </c>
      <c r="L162" s="57">
        <v>190.1</v>
      </c>
      <c r="M162" s="59">
        <v>187.3</v>
      </c>
      <c r="N162" s="57">
        <v>206.7</v>
      </c>
      <c r="O162" s="59">
        <v>216.7</v>
      </c>
      <c r="P162" s="44"/>
      <c r="Q162" s="44"/>
    </row>
    <row r="163" spans="1:17" ht="13.5" customHeight="1" x14ac:dyDescent="0.2">
      <c r="A163" s="55" t="s">
        <v>135</v>
      </c>
      <c r="B163" s="55"/>
      <c r="C163" s="55"/>
      <c r="D163" s="57"/>
      <c r="E163" s="58">
        <v>27</v>
      </c>
      <c r="F163" s="57">
        <v>49</v>
      </c>
      <c r="G163" s="58">
        <v>46</v>
      </c>
      <c r="H163" s="57">
        <v>47.57</v>
      </c>
      <c r="I163" s="59">
        <v>50</v>
      </c>
      <c r="J163" s="57">
        <v>69.599999999999994</v>
      </c>
      <c r="K163" s="59">
        <v>85.1</v>
      </c>
      <c r="L163" s="57">
        <v>87.5</v>
      </c>
      <c r="M163" s="59">
        <f>75.4+4</f>
        <v>79.400000000000006</v>
      </c>
      <c r="N163" s="57">
        <v>88.1</v>
      </c>
      <c r="O163" s="59">
        <v>128.1</v>
      </c>
      <c r="P163"/>
      <c r="Q163"/>
    </row>
    <row r="164" spans="1:17" ht="13.5" customHeight="1" x14ac:dyDescent="0.2">
      <c r="A164" s="55" t="s">
        <v>43</v>
      </c>
      <c r="B164" s="55"/>
      <c r="C164" s="74"/>
      <c r="D164" s="57"/>
      <c r="E164" s="58"/>
      <c r="F164" s="57">
        <v>8.5</v>
      </c>
      <c r="G164" s="58">
        <v>20.2</v>
      </c>
      <c r="H164" s="57">
        <v>29.6</v>
      </c>
      <c r="I164" s="59">
        <v>38.512974999999997</v>
      </c>
      <c r="J164" s="57">
        <f>43.16105+1.99</f>
        <v>45.151050000000005</v>
      </c>
      <c r="K164" s="59">
        <v>50</v>
      </c>
      <c r="L164" s="57">
        <v>55.8</v>
      </c>
      <c r="M164" s="59">
        <f>44.28+10+3</f>
        <v>57.28</v>
      </c>
      <c r="N164" s="57">
        <v>53.7</v>
      </c>
      <c r="O164" s="59">
        <v>93.7</v>
      </c>
    </row>
    <row r="165" spans="1:17" ht="13.5" customHeight="1" x14ac:dyDescent="0.2">
      <c r="A165" s="55" t="s">
        <v>191</v>
      </c>
      <c r="B165" s="55"/>
      <c r="C165" s="74"/>
      <c r="D165" s="57"/>
      <c r="E165" s="58"/>
      <c r="F165" s="57"/>
      <c r="G165" s="58"/>
      <c r="H165" s="57"/>
      <c r="I165" s="59"/>
      <c r="J165" s="57"/>
      <c r="K165" s="59"/>
      <c r="L165" s="57"/>
      <c r="M165" s="59">
        <v>3.22858</v>
      </c>
      <c r="N165" s="57">
        <v>9.3000000000000007</v>
      </c>
      <c r="O165" s="59">
        <v>29.3</v>
      </c>
    </row>
    <row r="166" spans="1:17" ht="13.5" customHeight="1" x14ac:dyDescent="0.2">
      <c r="A166" s="55" t="s">
        <v>93</v>
      </c>
      <c r="B166" s="74"/>
      <c r="C166" s="74"/>
      <c r="D166" s="57"/>
      <c r="E166" s="58"/>
      <c r="F166" s="57"/>
      <c r="G166" s="58"/>
      <c r="H166" s="57">
        <v>1</v>
      </c>
      <c r="I166" s="59">
        <v>1</v>
      </c>
      <c r="J166" s="57">
        <v>1</v>
      </c>
      <c r="K166" s="59">
        <v>1.5</v>
      </c>
      <c r="L166" s="57">
        <v>1.5</v>
      </c>
      <c r="M166" s="59"/>
      <c r="N166" s="57"/>
      <c r="O166" s="59"/>
    </row>
    <row r="167" spans="1:17" ht="13.5" customHeight="1" x14ac:dyDescent="0.2">
      <c r="A167" s="55" t="s">
        <v>44</v>
      </c>
      <c r="B167" s="74"/>
      <c r="C167" s="74"/>
      <c r="D167" s="57"/>
      <c r="E167" s="58">
        <v>57</v>
      </c>
      <c r="F167" s="57">
        <v>57.5</v>
      </c>
      <c r="G167" s="58">
        <v>130.30000000000001</v>
      </c>
      <c r="H167" s="57"/>
      <c r="I167" s="59">
        <v>20</v>
      </c>
      <c r="J167" s="57">
        <v>25</v>
      </c>
      <c r="K167" s="59">
        <v>38</v>
      </c>
      <c r="L167" s="57">
        <v>69.600526000000002</v>
      </c>
      <c r="M167" s="59">
        <v>131.30000000000001</v>
      </c>
      <c r="N167" s="57">
        <v>261.2</v>
      </c>
      <c r="O167" s="59"/>
    </row>
    <row r="168" spans="1:17" ht="13.5" customHeight="1" x14ac:dyDescent="0.2">
      <c r="A168" s="55" t="s">
        <v>182</v>
      </c>
      <c r="B168" s="74"/>
      <c r="C168" s="74"/>
      <c r="D168" s="57"/>
      <c r="E168" s="58"/>
      <c r="F168" s="57"/>
      <c r="G168" s="58"/>
      <c r="H168" s="57"/>
      <c r="I168" s="59"/>
      <c r="J168" s="57"/>
      <c r="K168" s="59"/>
      <c r="L168" s="57">
        <v>333.6</v>
      </c>
      <c r="M168" s="59">
        <v>491.9</v>
      </c>
      <c r="N168" s="57">
        <v>1634.4</v>
      </c>
      <c r="O168" s="59">
        <v>2367</v>
      </c>
    </row>
    <row r="169" spans="1:17" ht="13.5" customHeight="1" x14ac:dyDescent="0.2">
      <c r="A169" s="55" t="s">
        <v>45</v>
      </c>
      <c r="B169" s="74"/>
      <c r="C169" s="74"/>
      <c r="D169" s="57"/>
      <c r="E169" s="58"/>
      <c r="F169" s="57">
        <v>13.8</v>
      </c>
      <c r="G169" s="58"/>
      <c r="H169" s="57"/>
      <c r="I169" s="59"/>
      <c r="J169" s="57"/>
      <c r="K169" s="59"/>
      <c r="L169" s="57"/>
      <c r="M169" s="59"/>
      <c r="N169" s="57"/>
      <c r="O169" s="59"/>
    </row>
    <row r="170" spans="1:17" ht="13.5" customHeight="1" x14ac:dyDescent="0.2">
      <c r="A170" s="55" t="s">
        <v>46</v>
      </c>
      <c r="B170" s="74"/>
      <c r="C170" s="74"/>
      <c r="D170" s="57"/>
      <c r="E170" s="58">
        <v>10.9</v>
      </c>
      <c r="F170" s="57">
        <v>4</v>
      </c>
      <c r="G170" s="58"/>
      <c r="H170" s="57"/>
      <c r="I170" s="59"/>
      <c r="J170" s="57"/>
      <c r="K170" s="59"/>
      <c r="L170" s="57"/>
      <c r="M170" s="59"/>
      <c r="N170" s="57"/>
      <c r="O170" s="59"/>
    </row>
    <row r="171" spans="1:17" ht="15.75" customHeight="1" x14ac:dyDescent="0.2">
      <c r="A171" s="15" t="s">
        <v>47</v>
      </c>
      <c r="B171" s="7"/>
      <c r="C171" s="16"/>
      <c r="D171" s="27">
        <f>SUM(D172:D182)</f>
        <v>45.9</v>
      </c>
      <c r="E171" s="17">
        <f>SUM(E172:E183)</f>
        <v>81.2</v>
      </c>
      <c r="F171" s="27">
        <f>SUM(F172:F183)</f>
        <v>131.69999999999999</v>
      </c>
      <c r="G171" s="17">
        <f>SUM(G172:G183)</f>
        <v>111.1</v>
      </c>
      <c r="H171" s="27">
        <f>SUM(H172:H182)</f>
        <v>123.08</v>
      </c>
      <c r="I171" s="31">
        <f>SUM(I172:I182)</f>
        <v>107.88</v>
      </c>
      <c r="J171" s="27">
        <f t="shared" ref="J171:O171" si="10">SUM(J172:J188)</f>
        <v>174.75598200000002</v>
      </c>
      <c r="K171" s="31">
        <f t="shared" si="10"/>
        <v>285.42971600000004</v>
      </c>
      <c r="L171" s="27">
        <f t="shared" si="10"/>
        <v>247.31212499999998</v>
      </c>
      <c r="M171" s="31">
        <f t="shared" si="10"/>
        <v>328.18560399999996</v>
      </c>
      <c r="N171" s="27">
        <f t="shared" si="10"/>
        <v>298.7</v>
      </c>
      <c r="O171" s="31">
        <f t="shared" si="10"/>
        <v>303.40000000000003</v>
      </c>
    </row>
    <row r="172" spans="1:17" ht="14.25" customHeight="1" x14ac:dyDescent="0.2">
      <c r="A172" s="67" t="s">
        <v>2</v>
      </c>
      <c r="B172" s="56" t="s">
        <v>48</v>
      </c>
      <c r="C172" s="56"/>
      <c r="D172" s="57">
        <v>4</v>
      </c>
      <c r="E172" s="58">
        <v>12</v>
      </c>
      <c r="F172" s="57">
        <v>18</v>
      </c>
      <c r="G172" s="60"/>
      <c r="H172" s="57">
        <v>2.58</v>
      </c>
      <c r="I172" s="59">
        <v>2.08</v>
      </c>
      <c r="J172" s="57">
        <v>22.1</v>
      </c>
      <c r="K172" s="59">
        <v>17.671579999999999</v>
      </c>
      <c r="L172" s="57"/>
      <c r="M172" s="59"/>
      <c r="N172" s="57"/>
      <c r="O172" s="59"/>
    </row>
    <row r="173" spans="1:17" ht="14.25" customHeight="1" x14ac:dyDescent="0.2">
      <c r="A173" s="69"/>
      <c r="B173" s="56" t="s">
        <v>49</v>
      </c>
      <c r="C173" s="56"/>
      <c r="D173" s="57">
        <v>3.1</v>
      </c>
      <c r="E173" s="58">
        <v>7.1</v>
      </c>
      <c r="F173" s="57">
        <v>15</v>
      </c>
      <c r="G173" s="58">
        <v>7</v>
      </c>
      <c r="H173" s="57">
        <v>23.5</v>
      </c>
      <c r="I173" s="59">
        <v>16.8</v>
      </c>
      <c r="J173" s="57">
        <v>12.3</v>
      </c>
      <c r="K173" s="59">
        <v>15.206</v>
      </c>
      <c r="L173" s="57"/>
      <c r="M173" s="59"/>
      <c r="N173" s="57">
        <v>19.600000000000001</v>
      </c>
      <c r="O173" s="59"/>
    </row>
    <row r="174" spans="1:17" ht="14.25" customHeight="1" x14ac:dyDescent="0.2">
      <c r="A174" s="69"/>
      <c r="B174" s="56" t="s">
        <v>50</v>
      </c>
      <c r="C174" s="56"/>
      <c r="D174" s="57">
        <v>21.8</v>
      </c>
      <c r="E174" s="58">
        <v>32.799999999999997</v>
      </c>
      <c r="F174" s="57">
        <v>54.5</v>
      </c>
      <c r="G174" s="58">
        <v>44</v>
      </c>
      <c r="H174" s="57">
        <v>48</v>
      </c>
      <c r="I174" s="59">
        <v>40.299999999999997</v>
      </c>
      <c r="J174" s="57">
        <f>12+6.238+26.5+13.905</f>
        <v>58.643000000000001</v>
      </c>
      <c r="K174" s="59">
        <f>115.374566+14</f>
        <v>129.37456600000002</v>
      </c>
      <c r="L174" s="57">
        <f>8+13+13+10+5+25+9.715+10.308684+10+23.1</f>
        <v>127.123684</v>
      </c>
      <c r="M174" s="59">
        <f>51.8605+16.5+6.187+24.4625+10+5+30.8+23.1</f>
        <v>167.91</v>
      </c>
      <c r="N174" s="57">
        <v>162.1</v>
      </c>
      <c r="O174" s="59">
        <v>171.5</v>
      </c>
    </row>
    <row r="175" spans="1:17" ht="14.25" customHeight="1" x14ac:dyDescent="0.2">
      <c r="A175" s="69"/>
      <c r="B175" s="56" t="s">
        <v>51</v>
      </c>
      <c r="C175" s="56"/>
      <c r="D175" s="57">
        <v>17</v>
      </c>
      <c r="E175" s="58">
        <v>24.8</v>
      </c>
      <c r="F175" s="57">
        <v>20</v>
      </c>
      <c r="G175" s="58">
        <v>15</v>
      </c>
      <c r="H175" s="57">
        <v>24.5</v>
      </c>
      <c r="I175" s="59">
        <v>24.7</v>
      </c>
      <c r="J175" s="57">
        <f>15.5+22</f>
        <v>37.5</v>
      </c>
      <c r="K175" s="59">
        <v>48.561</v>
      </c>
      <c r="L175" s="57">
        <f>15+33.551772+6.216+7.1365+15</f>
        <v>76.904271999999992</v>
      </c>
      <c r="M175" s="59">
        <f>20+20+54.206875</f>
        <v>94.206874999999997</v>
      </c>
      <c r="N175" s="57">
        <v>69.3</v>
      </c>
      <c r="O175" s="59">
        <v>80.599999999999994</v>
      </c>
    </row>
    <row r="176" spans="1:17" ht="14.25" customHeight="1" x14ac:dyDescent="0.2">
      <c r="A176" s="69"/>
      <c r="B176" s="56" t="s">
        <v>52</v>
      </c>
      <c r="C176" s="56"/>
      <c r="D176" s="57"/>
      <c r="E176" s="58"/>
      <c r="F176" s="57">
        <v>5</v>
      </c>
      <c r="G176" s="58">
        <v>6.5</v>
      </c>
      <c r="H176" s="57"/>
      <c r="I176" s="59"/>
      <c r="J176" s="57">
        <v>5.3</v>
      </c>
      <c r="K176" s="59"/>
      <c r="L176" s="57"/>
      <c r="M176" s="59"/>
      <c r="N176" s="57">
        <v>12.2</v>
      </c>
      <c r="O176" s="59">
        <v>8</v>
      </c>
    </row>
    <row r="177" spans="1:16" ht="14.25" customHeight="1" x14ac:dyDescent="0.2">
      <c r="A177" s="69"/>
      <c r="B177" s="56" t="s">
        <v>53</v>
      </c>
      <c r="C177" s="56"/>
      <c r="D177" s="57"/>
      <c r="E177" s="58"/>
      <c r="F177" s="57">
        <v>13</v>
      </c>
      <c r="G177" s="58">
        <v>9.8000000000000007</v>
      </c>
      <c r="H177" s="57">
        <v>24.5</v>
      </c>
      <c r="I177" s="59">
        <v>24</v>
      </c>
      <c r="J177" s="57">
        <f>6.412+12.981982+11.9</f>
        <v>31.293982</v>
      </c>
      <c r="K177" s="59">
        <v>38.793813999999998</v>
      </c>
      <c r="L177" s="57">
        <f>10+10.890705</f>
        <v>20.890705000000001</v>
      </c>
      <c r="M177" s="59">
        <f>1.6144+9.975+15+15.751219</f>
        <v>42.340618999999997</v>
      </c>
      <c r="N177" s="57">
        <v>27.5</v>
      </c>
      <c r="O177" s="59">
        <v>32.5</v>
      </c>
    </row>
    <row r="178" spans="1:16" ht="14.25" customHeight="1" x14ac:dyDescent="0.2">
      <c r="A178" s="69"/>
      <c r="B178" s="56" t="s">
        <v>147</v>
      </c>
      <c r="C178" s="56"/>
      <c r="D178" s="57"/>
      <c r="E178" s="58"/>
      <c r="F178" s="57"/>
      <c r="G178" s="58"/>
      <c r="H178" s="57"/>
      <c r="I178" s="59"/>
      <c r="J178" s="57">
        <v>4.7</v>
      </c>
      <c r="K178" s="59">
        <v>13.804122</v>
      </c>
      <c r="L178" s="57">
        <v>6.5</v>
      </c>
      <c r="M178" s="59">
        <v>7.4</v>
      </c>
      <c r="N178" s="57"/>
      <c r="O178" s="59">
        <v>4</v>
      </c>
    </row>
    <row r="179" spans="1:16" ht="14.25" customHeight="1" x14ac:dyDescent="0.2">
      <c r="A179" s="69"/>
      <c r="B179" s="56" t="s">
        <v>148</v>
      </c>
      <c r="C179" s="56"/>
      <c r="D179" s="57"/>
      <c r="E179" s="58"/>
      <c r="F179" s="57"/>
      <c r="G179" s="58"/>
      <c r="H179" s="57"/>
      <c r="I179" s="59"/>
      <c r="J179" s="57">
        <v>2.7389999999999999</v>
      </c>
      <c r="K179" s="59"/>
      <c r="L179" s="57"/>
      <c r="M179" s="59"/>
      <c r="N179" s="57"/>
      <c r="O179" s="59"/>
    </row>
    <row r="180" spans="1:16" ht="14.25" customHeight="1" x14ac:dyDescent="0.2">
      <c r="A180" s="69"/>
      <c r="B180" s="56" t="s">
        <v>54</v>
      </c>
      <c r="C180" s="56"/>
      <c r="D180" s="57"/>
      <c r="E180" s="58">
        <v>1</v>
      </c>
      <c r="F180" s="57"/>
      <c r="G180" s="58"/>
      <c r="H180" s="57"/>
      <c r="I180" s="59"/>
      <c r="J180" s="57"/>
      <c r="K180" s="59"/>
      <c r="L180" s="57">
        <v>10.01</v>
      </c>
      <c r="M180" s="59"/>
      <c r="N180" s="57">
        <v>1.8</v>
      </c>
      <c r="O180" s="59"/>
    </row>
    <row r="181" spans="1:16" ht="14.25" customHeight="1" x14ac:dyDescent="0.2">
      <c r="A181" s="69"/>
      <c r="B181" s="56" t="s">
        <v>55</v>
      </c>
      <c r="C181" s="56"/>
      <c r="D181" s="57"/>
      <c r="E181" s="58"/>
      <c r="F181" s="57"/>
      <c r="G181" s="58">
        <v>14.7</v>
      </c>
      <c r="H181" s="57"/>
      <c r="I181" s="59"/>
      <c r="J181" s="57"/>
      <c r="K181" s="59"/>
      <c r="L181" s="57"/>
      <c r="M181" s="59"/>
      <c r="N181" s="57"/>
      <c r="O181" s="59"/>
    </row>
    <row r="182" spans="1:16" ht="14.25" customHeight="1" x14ac:dyDescent="0.2">
      <c r="A182" s="69"/>
      <c r="B182" s="56" t="s">
        <v>56</v>
      </c>
      <c r="C182" s="56"/>
      <c r="D182" s="57"/>
      <c r="E182" s="58"/>
      <c r="F182" s="57"/>
      <c r="G182" s="58">
        <v>8</v>
      </c>
      <c r="H182" s="57"/>
      <c r="I182" s="59"/>
      <c r="J182" s="57"/>
      <c r="K182" s="59"/>
      <c r="L182" s="57"/>
      <c r="M182" s="59"/>
      <c r="N182" s="57"/>
      <c r="O182" s="59"/>
    </row>
    <row r="183" spans="1:16" ht="14.25" customHeight="1" x14ac:dyDescent="0.2">
      <c r="A183" s="69"/>
      <c r="B183" s="56" t="s">
        <v>92</v>
      </c>
      <c r="C183" s="82"/>
      <c r="D183" s="83"/>
      <c r="E183" s="58">
        <v>3.5</v>
      </c>
      <c r="F183" s="57">
        <v>6.2</v>
      </c>
      <c r="G183" s="58">
        <v>6.1</v>
      </c>
      <c r="H183" s="83"/>
      <c r="I183" s="84"/>
      <c r="J183" s="83"/>
      <c r="K183" s="84"/>
      <c r="L183" s="83"/>
      <c r="M183" s="84"/>
      <c r="N183" s="83"/>
      <c r="O183" s="84"/>
    </row>
    <row r="184" spans="1:16" ht="14.25" customHeight="1" x14ac:dyDescent="0.2">
      <c r="A184" s="69"/>
      <c r="B184" s="56" t="s">
        <v>166</v>
      </c>
      <c r="C184" s="82"/>
      <c r="D184" s="83"/>
      <c r="E184" s="85"/>
      <c r="F184" s="83"/>
      <c r="G184" s="85"/>
      <c r="H184" s="83"/>
      <c r="I184" s="84"/>
      <c r="J184" s="83"/>
      <c r="K184" s="84">
        <v>11.795498</v>
      </c>
      <c r="L184" s="83"/>
      <c r="M184" s="84">
        <v>0.9</v>
      </c>
      <c r="N184" s="83"/>
      <c r="O184" s="84">
        <v>0.5</v>
      </c>
    </row>
    <row r="185" spans="1:16" ht="14.25" customHeight="1" x14ac:dyDescent="0.2">
      <c r="A185" s="69"/>
      <c r="B185" s="56" t="s">
        <v>204</v>
      </c>
      <c r="C185" s="82"/>
      <c r="D185" s="83"/>
      <c r="E185" s="85"/>
      <c r="F185" s="83"/>
      <c r="G185" s="85"/>
      <c r="H185" s="83"/>
      <c r="I185" s="84"/>
      <c r="J185" s="83"/>
      <c r="K185" s="84">
        <v>8.26</v>
      </c>
      <c r="L185" s="83"/>
      <c r="M185" s="84"/>
      <c r="N185" s="83"/>
      <c r="O185" s="84"/>
    </row>
    <row r="186" spans="1:16" ht="14.25" customHeight="1" x14ac:dyDescent="0.2">
      <c r="A186" s="69"/>
      <c r="B186" s="56" t="s">
        <v>178</v>
      </c>
      <c r="C186" s="82"/>
      <c r="D186" s="83"/>
      <c r="E186" s="85"/>
      <c r="F186" s="83"/>
      <c r="G186" s="85"/>
      <c r="H186" s="83"/>
      <c r="I186" s="84"/>
      <c r="J186" s="83"/>
      <c r="K186" s="84"/>
      <c r="L186" s="83">
        <v>4.0428459999999999</v>
      </c>
      <c r="M186" s="84">
        <v>6.7784700000000004</v>
      </c>
      <c r="N186" s="83"/>
      <c r="O186" s="84"/>
    </row>
    <row r="187" spans="1:16" ht="14.25" customHeight="1" x14ac:dyDescent="0.2">
      <c r="A187" s="69"/>
      <c r="B187" s="56" t="s">
        <v>190</v>
      </c>
      <c r="C187" s="82"/>
      <c r="D187" s="83"/>
      <c r="E187" s="85"/>
      <c r="F187" s="83"/>
      <c r="G187" s="85"/>
      <c r="H187" s="83"/>
      <c r="I187" s="84"/>
      <c r="J187" s="83"/>
      <c r="K187" s="84"/>
      <c r="L187" s="83"/>
      <c r="M187" s="84">
        <v>4</v>
      </c>
      <c r="N187" s="83"/>
      <c r="O187" s="84"/>
    </row>
    <row r="188" spans="1:16" ht="14.25" customHeight="1" x14ac:dyDescent="0.2">
      <c r="A188" s="69"/>
      <c r="B188" s="56" t="s">
        <v>167</v>
      </c>
      <c r="C188" s="82"/>
      <c r="D188" s="83"/>
      <c r="E188" s="85"/>
      <c r="F188" s="83"/>
      <c r="G188" s="85"/>
      <c r="H188" s="83"/>
      <c r="I188" s="84"/>
      <c r="J188" s="83">
        <v>0.18</v>
      </c>
      <c r="K188" s="84">
        <f>1.163136+0.8</f>
        <v>1.963136</v>
      </c>
      <c r="L188" s="83">
        <f>0.795178+1.04544</f>
        <v>1.8406180000000001</v>
      </c>
      <c r="M188" s="84">
        <f>2.464+2.18564</f>
        <v>4.6496399999999998</v>
      </c>
      <c r="N188" s="83">
        <v>6.2</v>
      </c>
      <c r="O188" s="84">
        <f>1.5+4.8</f>
        <v>6.3</v>
      </c>
    </row>
    <row r="189" spans="1:16" ht="14.25" customHeight="1" x14ac:dyDescent="0.2">
      <c r="A189" s="81" t="s">
        <v>57</v>
      </c>
      <c r="B189" s="86"/>
      <c r="C189" s="82"/>
      <c r="D189" s="83"/>
      <c r="E189" s="85">
        <v>9.6</v>
      </c>
      <c r="F189" s="83">
        <v>25</v>
      </c>
      <c r="G189" s="85">
        <v>12.1</v>
      </c>
      <c r="H189" s="83">
        <f>5.72015+9.5+5.74315</f>
        <v>20.9633</v>
      </c>
      <c r="I189" s="59">
        <v>5.2591530000000004</v>
      </c>
      <c r="J189" s="83">
        <f>6.50545+5.7714</f>
        <v>12.27685</v>
      </c>
      <c r="K189" s="59">
        <v>14.884175000000001</v>
      </c>
      <c r="L189" s="83">
        <f>9.791175+6.06305</f>
        <v>15.854225</v>
      </c>
      <c r="M189" s="59">
        <f>13.02+9.79</f>
        <v>22.81</v>
      </c>
      <c r="N189" s="83">
        <v>5.7</v>
      </c>
      <c r="O189" s="59">
        <f>7.9+5.3</f>
        <v>13.2</v>
      </c>
      <c r="P189" s="46"/>
    </row>
    <row r="190" spans="1:16" ht="14.25" customHeight="1" x14ac:dyDescent="0.2">
      <c r="A190" s="55" t="s">
        <v>58</v>
      </c>
      <c r="B190" s="82"/>
      <c r="C190" s="56"/>
      <c r="D190" s="57"/>
      <c r="E190" s="58"/>
      <c r="F190" s="57"/>
      <c r="G190" s="58"/>
      <c r="H190" s="57"/>
      <c r="I190" s="59">
        <v>2.96732</v>
      </c>
      <c r="J190" s="57">
        <v>1.4213830000000001</v>
      </c>
      <c r="K190" s="59">
        <v>2.520594</v>
      </c>
      <c r="L190" s="57">
        <v>1.5864720000000001</v>
      </c>
      <c r="M190" s="59"/>
      <c r="N190" s="57"/>
      <c r="O190" s="59"/>
    </row>
    <row r="191" spans="1:16" ht="14.25" customHeight="1" x14ac:dyDescent="0.2">
      <c r="A191" s="55" t="s">
        <v>94</v>
      </c>
      <c r="B191" s="56"/>
      <c r="C191" s="56"/>
      <c r="D191" s="57"/>
      <c r="E191" s="58"/>
      <c r="F191" s="57"/>
      <c r="G191" s="58">
        <v>6.4</v>
      </c>
      <c r="H191" s="57">
        <v>7.8493000000000004</v>
      </c>
      <c r="I191" s="59">
        <v>6.4769480000000001</v>
      </c>
      <c r="J191" s="57">
        <v>6.4124999999999996</v>
      </c>
      <c r="K191" s="59"/>
      <c r="L191" s="57"/>
      <c r="M191" s="59"/>
      <c r="N191" s="57"/>
      <c r="O191" s="59"/>
    </row>
    <row r="192" spans="1:16" ht="14.25" customHeight="1" x14ac:dyDescent="0.2">
      <c r="A192" s="55" t="s">
        <v>100</v>
      </c>
      <c r="B192" s="56"/>
      <c r="C192" s="56"/>
      <c r="D192" s="57"/>
      <c r="E192" s="58"/>
      <c r="F192" s="57"/>
      <c r="G192" s="58"/>
      <c r="H192" s="57"/>
      <c r="I192" s="59">
        <v>0.65</v>
      </c>
      <c r="J192" s="57"/>
      <c r="K192" s="59">
        <v>2.9572799999999999</v>
      </c>
      <c r="L192" s="57">
        <v>2</v>
      </c>
      <c r="M192" s="59"/>
      <c r="N192" s="57">
        <v>2</v>
      </c>
      <c r="O192" s="59"/>
    </row>
    <row r="193" spans="1:17" ht="14.25" customHeight="1" x14ac:dyDescent="0.2">
      <c r="A193" s="55" t="s">
        <v>95</v>
      </c>
      <c r="B193" s="56"/>
      <c r="C193" s="56"/>
      <c r="D193" s="57"/>
      <c r="E193" s="58"/>
      <c r="F193" s="57"/>
      <c r="G193" s="58"/>
      <c r="H193" s="57">
        <v>13.1219</v>
      </c>
      <c r="I193" s="59">
        <v>6.2072000000000003</v>
      </c>
      <c r="J193" s="57"/>
      <c r="K193" s="59"/>
      <c r="L193" s="57"/>
      <c r="M193" s="59"/>
      <c r="N193" s="57"/>
      <c r="O193" s="59"/>
    </row>
    <row r="194" spans="1:17" ht="14.25" customHeight="1" x14ac:dyDescent="0.2">
      <c r="A194" s="55" t="s">
        <v>97</v>
      </c>
      <c r="B194" s="56"/>
      <c r="C194" s="56"/>
      <c r="D194" s="83"/>
      <c r="E194" s="85"/>
      <c r="F194" s="83"/>
      <c r="G194" s="85"/>
      <c r="H194" s="83">
        <v>3.6</v>
      </c>
      <c r="I194" s="84">
        <v>3.6</v>
      </c>
      <c r="J194" s="83">
        <v>3.6</v>
      </c>
      <c r="K194" s="84">
        <v>6</v>
      </c>
      <c r="L194" s="83">
        <v>6.5</v>
      </c>
      <c r="M194" s="84">
        <f>0.5+7</f>
        <v>7.5</v>
      </c>
      <c r="N194" s="83">
        <v>8</v>
      </c>
      <c r="O194" s="84">
        <v>8</v>
      </c>
    </row>
    <row r="195" spans="1:17" ht="14.25" customHeight="1" x14ac:dyDescent="0.2">
      <c r="A195" s="55" t="s">
        <v>169</v>
      </c>
      <c r="B195" s="56"/>
      <c r="C195" s="56"/>
      <c r="D195" s="83"/>
      <c r="E195" s="85"/>
      <c r="F195" s="83"/>
      <c r="G195" s="85"/>
      <c r="H195" s="83"/>
      <c r="I195" s="84"/>
      <c r="J195" s="83"/>
      <c r="K195" s="84">
        <v>2.5</v>
      </c>
      <c r="L195" s="83"/>
      <c r="M195" s="84"/>
      <c r="N195" s="83"/>
      <c r="O195" s="84"/>
    </row>
    <row r="196" spans="1:17" ht="14.25" customHeight="1" x14ac:dyDescent="0.2">
      <c r="A196" s="55" t="s">
        <v>59</v>
      </c>
      <c r="B196" s="56"/>
      <c r="C196" s="56"/>
      <c r="D196" s="57">
        <v>13.3</v>
      </c>
      <c r="E196" s="58">
        <v>26.9</v>
      </c>
      <c r="F196" s="57">
        <v>24.1</v>
      </c>
      <c r="G196" s="58">
        <v>15.9</v>
      </c>
      <c r="H196" s="57"/>
      <c r="I196" s="59"/>
      <c r="J196" s="57"/>
      <c r="K196" s="59"/>
      <c r="L196" s="57"/>
      <c r="M196" s="59"/>
      <c r="N196" s="57">
        <v>24.4</v>
      </c>
      <c r="O196" s="59">
        <v>120.8</v>
      </c>
    </row>
    <row r="197" spans="1:17" ht="14.25" customHeight="1" x14ac:dyDescent="0.2">
      <c r="A197" s="55" t="s">
        <v>161</v>
      </c>
      <c r="B197" s="56"/>
      <c r="C197" s="56"/>
      <c r="D197" s="57"/>
      <c r="E197" s="58"/>
      <c r="F197" s="57"/>
      <c r="G197" s="58"/>
      <c r="H197" s="57"/>
      <c r="I197" s="59"/>
      <c r="J197" s="57"/>
      <c r="K197" s="59">
        <v>6.6700920000000004</v>
      </c>
      <c r="L197" s="57"/>
      <c r="M197" s="59"/>
      <c r="N197" s="57"/>
      <c r="O197" s="59"/>
    </row>
    <row r="198" spans="1:17" ht="14.25" customHeight="1" x14ac:dyDescent="0.2">
      <c r="A198" s="55" t="s">
        <v>181</v>
      </c>
      <c r="B198" s="56"/>
      <c r="C198" s="56"/>
      <c r="D198" s="57"/>
      <c r="E198" s="58"/>
      <c r="F198" s="57"/>
      <c r="G198" s="58"/>
      <c r="H198" s="57"/>
      <c r="I198" s="59"/>
      <c r="J198" s="57"/>
      <c r="K198" s="59"/>
      <c r="L198" s="57">
        <v>10.802973</v>
      </c>
      <c r="M198" s="59"/>
      <c r="N198" s="57"/>
      <c r="O198" s="59"/>
    </row>
    <row r="199" spans="1:17" ht="14.25" customHeight="1" x14ac:dyDescent="0.2">
      <c r="A199" s="55" t="s">
        <v>180</v>
      </c>
      <c r="B199" s="56"/>
      <c r="C199" s="56"/>
      <c r="D199" s="57"/>
      <c r="E199" s="58"/>
      <c r="F199" s="57"/>
      <c r="G199" s="58"/>
      <c r="H199" s="57"/>
      <c r="I199" s="59"/>
      <c r="J199" s="57"/>
      <c r="K199" s="59"/>
      <c r="L199" s="57">
        <f>0.897244+0.359538+0.23561</f>
        <v>1.4923920000000002</v>
      </c>
      <c r="M199" s="59">
        <f>3+0.62531+0.189048</f>
        <v>3.8143579999999999</v>
      </c>
      <c r="N199" s="57">
        <v>3</v>
      </c>
      <c r="O199" s="59"/>
    </row>
    <row r="200" spans="1:17" ht="14.25" customHeight="1" x14ac:dyDescent="0.2">
      <c r="A200" s="55" t="s">
        <v>126</v>
      </c>
      <c r="B200" s="56"/>
      <c r="C200" s="56"/>
      <c r="D200" s="57">
        <v>42</v>
      </c>
      <c r="E200" s="58">
        <v>47.4</v>
      </c>
      <c r="F200" s="57">
        <v>117.7</v>
      </c>
      <c r="G200" s="58">
        <v>93.4</v>
      </c>
      <c r="H200" s="57">
        <f>37.150621+11.121531</f>
        <v>48.272151999999998</v>
      </c>
      <c r="I200" s="59">
        <v>51.014282999999999</v>
      </c>
      <c r="J200" s="57">
        <f>45.452214+9.089724+0.216686</f>
        <v>54.758624000000005</v>
      </c>
      <c r="K200" s="59">
        <v>65.896690000000007</v>
      </c>
      <c r="L200" s="57">
        <f>58.911437+13.3+6.811515+0.509347+0.546361+0.976904+0.196897</f>
        <v>81.252461000000025</v>
      </c>
      <c r="M200" s="59">
        <f>0.01944+0.486972+0.9267+19.671951+3.543557+56.4917+1.648629</f>
        <v>82.788949000000002</v>
      </c>
      <c r="N200" s="57">
        <v>261.5</v>
      </c>
      <c r="O200" s="59">
        <v>262.5</v>
      </c>
    </row>
    <row r="201" spans="1:17" ht="25.5" customHeight="1" thickBot="1" x14ac:dyDescent="0.3">
      <c r="A201" s="91" t="s">
        <v>60</v>
      </c>
      <c r="B201" s="92"/>
      <c r="C201" s="93"/>
      <c r="D201" s="94">
        <f>D4+D33+D160</f>
        <v>2964.47</v>
      </c>
      <c r="E201" s="95">
        <f>E4+E33+E160</f>
        <v>3029.42</v>
      </c>
      <c r="F201" s="94">
        <f>F4+F33+F160</f>
        <v>4290.8739999999998</v>
      </c>
      <c r="G201" s="95">
        <f>G4+G33+G160</f>
        <v>4243.51</v>
      </c>
      <c r="H201" s="94">
        <f>H4+H33+H160</f>
        <v>3473.5811480000007</v>
      </c>
      <c r="I201" s="96">
        <f>I4+I33+I160</f>
        <v>2966.0378430000001</v>
      </c>
      <c r="J201" s="94">
        <f>J4+J33+J160</f>
        <v>3268.4008154500002</v>
      </c>
      <c r="K201" s="96">
        <f>K4+K33+K160</f>
        <v>4264.8995133900007</v>
      </c>
      <c r="L201" s="94">
        <f>L4+L33+L160</f>
        <v>4461.8446185986159</v>
      </c>
      <c r="M201" s="96">
        <f>M4+M33+M160</f>
        <v>5257.8103881400002</v>
      </c>
      <c r="N201" s="94">
        <f>N4+N33+N160</f>
        <v>7100.53</v>
      </c>
      <c r="O201" s="96">
        <f>O4+O33+O160</f>
        <v>7295.4462550000007</v>
      </c>
      <c r="P201" s="33"/>
      <c r="Q201" s="33"/>
    </row>
    <row r="202" spans="1:17" s="63" customFormat="1" ht="14.25" customHeight="1" x14ac:dyDescent="0.2">
      <c r="A202" s="61" t="s">
        <v>61</v>
      </c>
      <c r="B202" s="62"/>
      <c r="C202" s="62"/>
      <c r="D202" s="64">
        <f>D201/D204</f>
        <v>2.6940004380237312E-3</v>
      </c>
      <c r="E202" s="65">
        <f>E201/E204</f>
        <v>2.4494888239879166E-3</v>
      </c>
      <c r="F202" s="64">
        <f t="shared" ref="F202:N202" si="11">F201/F204</f>
        <v>3.6898124451354305E-3</v>
      </c>
      <c r="G202" s="65">
        <f t="shared" si="11"/>
        <v>3.5197857360884394E-3</v>
      </c>
      <c r="H202" s="64">
        <f t="shared" si="11"/>
        <v>2.5593674255067226E-3</v>
      </c>
      <c r="I202" s="66">
        <f t="shared" si="11"/>
        <v>1.9924333124419357E-3</v>
      </c>
      <c r="J202" s="64">
        <f t="shared" si="11"/>
        <v>2.0334626689159762E-3</v>
      </c>
      <c r="K202" s="66">
        <f t="shared" si="11"/>
        <v>2.3031898247860391E-3</v>
      </c>
      <c r="L202" s="64">
        <f t="shared" si="11"/>
        <v>2.2915145366781517E-3</v>
      </c>
      <c r="M202" s="66">
        <f t="shared" si="11"/>
        <v>2.4062357473626787E-3</v>
      </c>
      <c r="N202" s="64">
        <f t="shared" si="11"/>
        <v>2.846490218826644E-3</v>
      </c>
      <c r="O202" s="66">
        <f t="shared" ref="O202" si="12">O201/O204</f>
        <v>2.8387314914938601E-3</v>
      </c>
    </row>
    <row r="203" spans="1:17" ht="3.75" customHeight="1" x14ac:dyDescent="0.2">
      <c r="A203" s="3"/>
      <c r="B203" s="23"/>
      <c r="C203" s="3"/>
      <c r="D203" s="28"/>
      <c r="E203" s="9"/>
      <c r="F203" s="28"/>
      <c r="G203" s="9"/>
      <c r="H203" s="29"/>
      <c r="I203" s="9"/>
      <c r="J203" s="29"/>
      <c r="K203" s="9"/>
      <c r="L203" s="29"/>
      <c r="M203" s="9"/>
      <c r="N203" s="29"/>
      <c r="O203" s="9"/>
    </row>
    <row r="204" spans="1:17" ht="13.5" customHeight="1" thickBot="1" x14ac:dyDescent="0.25">
      <c r="A204" s="69" t="s">
        <v>195</v>
      </c>
      <c r="B204" s="69"/>
      <c r="C204" s="69"/>
      <c r="D204" s="97">
        <v>1100397</v>
      </c>
      <c r="E204" s="98">
        <v>1236756</v>
      </c>
      <c r="F204" s="97">
        <v>1162897.5900000001</v>
      </c>
      <c r="G204" s="98">
        <v>1205616</v>
      </c>
      <c r="H204" s="97">
        <v>1357203</v>
      </c>
      <c r="I204" s="98">
        <v>1488651</v>
      </c>
      <c r="J204" s="97">
        <v>1607308</v>
      </c>
      <c r="K204" s="98">
        <v>1851736</v>
      </c>
      <c r="L204" s="97">
        <v>1947116</v>
      </c>
      <c r="M204" s="98">
        <v>2185077</v>
      </c>
      <c r="N204" s="97">
        <v>2494486</v>
      </c>
      <c r="O204" s="98">
        <v>2569967</v>
      </c>
    </row>
    <row r="205" spans="1:17" ht="3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K205" s="3"/>
      <c r="L205" s="3"/>
      <c r="M205" s="3"/>
      <c r="N205" s="3"/>
      <c r="O205" s="3"/>
    </row>
    <row r="206" spans="1:17" ht="12" hidden="1" customHeight="1" thickBot="1" x14ac:dyDescent="0.25">
      <c r="B206" s="3"/>
      <c r="C206" s="1"/>
      <c r="D206" s="1"/>
      <c r="E206" s="1"/>
      <c r="F206" s="1"/>
      <c r="G206" s="1">
        <v>123.59</v>
      </c>
      <c r="H206" s="1">
        <v>122.2422</v>
      </c>
      <c r="I206" s="2">
        <v>116.05800000000001</v>
      </c>
      <c r="J206" s="2">
        <v>125.11799999999999</v>
      </c>
      <c r="K206" s="2"/>
      <c r="L206" s="2"/>
      <c r="M206" s="2"/>
      <c r="N206" s="2"/>
      <c r="O206" s="2"/>
    </row>
    <row r="207" spans="1:17" ht="13.5" hidden="1" customHeight="1" thickBot="1" x14ac:dyDescent="0.25">
      <c r="A207" s="1" t="s">
        <v>62</v>
      </c>
      <c r="B207" s="1"/>
      <c r="F207" s="21"/>
      <c r="G207" s="8">
        <f>G201/G206</f>
        <v>34.335383121611784</v>
      </c>
      <c r="H207" s="8">
        <f>H201/H206</f>
        <v>28.415564739508948</v>
      </c>
      <c r="I207" s="8">
        <f>I201/I206</f>
        <v>25.556513493253373</v>
      </c>
      <c r="J207" s="8">
        <f>J201/J206</f>
        <v>26.122546839383624</v>
      </c>
      <c r="K207" s="8"/>
      <c r="L207" s="8"/>
      <c r="M207" s="51"/>
      <c r="N207" s="51"/>
      <c r="O207" s="51"/>
    </row>
    <row r="208" spans="1:17" ht="12.75" hidden="1" customHeight="1" x14ac:dyDescent="0.2">
      <c r="A208" s="1" t="s">
        <v>149</v>
      </c>
      <c r="F208" s="21"/>
      <c r="G208" s="21"/>
      <c r="H208" s="21">
        <v>2010</v>
      </c>
      <c r="I208" s="21">
        <v>2011</v>
      </c>
      <c r="J208" s="2">
        <v>2012</v>
      </c>
      <c r="K208" s="21"/>
      <c r="L208" s="21"/>
      <c r="M208" s="21"/>
      <c r="N208" s="21"/>
      <c r="O208" s="21"/>
    </row>
    <row r="209" spans="6:15" ht="11.25" customHeight="1" x14ac:dyDescent="0.2"/>
    <row r="210" spans="6:15" ht="12.75" x14ac:dyDescent="0.2">
      <c r="G210" s="30"/>
      <c r="H210" s="30"/>
      <c r="I210" s="30"/>
      <c r="J210" s="30"/>
    </row>
    <row r="211" spans="6:15" x14ac:dyDescent="0.2">
      <c r="J211" s="46"/>
      <c r="K211" s="50"/>
      <c r="L211" s="50"/>
      <c r="M211" s="50"/>
      <c r="N211" s="50"/>
      <c r="O211" s="50"/>
    </row>
    <row r="212" spans="6:15" x14ac:dyDescent="0.2">
      <c r="K212" s="48"/>
      <c r="L212" s="48"/>
      <c r="M212" s="48"/>
      <c r="N212" s="48"/>
      <c r="O212" s="48"/>
    </row>
    <row r="213" spans="6:15" ht="12.75" x14ac:dyDescent="0.2">
      <c r="G213" s="30"/>
      <c r="H213" s="30"/>
      <c r="I213" s="30"/>
      <c r="J213" s="30"/>
      <c r="K213" s="49"/>
      <c r="L213" s="49"/>
      <c r="M213" s="49"/>
      <c r="N213" s="49"/>
      <c r="O213" s="49"/>
    </row>
    <row r="216" spans="6:15" x14ac:dyDescent="0.2">
      <c r="F216" s="1"/>
      <c r="G216" s="1"/>
      <c r="H216" s="1"/>
      <c r="I216" s="1"/>
      <c r="J216" s="1"/>
    </row>
    <row r="217" spans="6:15" x14ac:dyDescent="0.2">
      <c r="F217" s="1"/>
      <c r="G217" s="45"/>
      <c r="H217" s="45"/>
      <c r="I217" s="45"/>
      <c r="J217" s="45"/>
      <c r="K217" s="2"/>
      <c r="L217" s="2"/>
      <c r="M217" s="2"/>
      <c r="N217" s="2"/>
      <c r="O217" s="2"/>
    </row>
    <row r="218" spans="6:15" x14ac:dyDescent="0.2">
      <c r="F218" s="1"/>
      <c r="G218" s="1"/>
      <c r="H218" s="1"/>
      <c r="I218" s="1"/>
      <c r="J218" s="1"/>
    </row>
    <row r="219" spans="6:15" x14ac:dyDescent="0.2">
      <c r="F219" s="1"/>
      <c r="G219" s="1"/>
      <c r="H219" s="1"/>
      <c r="I219" s="1"/>
      <c r="J219" s="1"/>
    </row>
  </sheetData>
  <mergeCells count="1">
    <mergeCell ref="A1:G1"/>
  </mergeCells>
  <pageMargins left="0.7" right="0.7" top="0.75" bottom="0.75" header="0.3" footer="0.3"/>
  <pageSetup paperSize="8" scale="70" fitToHeight="3" orientation="portrait" r:id="rId1"/>
  <headerFooter alignWithMargins="0">
    <oddFooter>&amp;C&amp;P / &amp;N</oddFooter>
  </headerFooter>
  <rowBreaks count="2" manualBreakCount="2">
    <brk id="114" max="14" man="1"/>
    <brk id="115" max="16383" man="1"/>
  </rowBreaks>
  <colBreaks count="1" manualBreakCount="1">
    <brk id="13" max="20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ODA</vt:lpstr>
      <vt:lpstr>ODA!Print_Area</vt:lpstr>
    </vt:vector>
  </TitlesOfParts>
  <Company>Utanríkisráðuneytið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Starfsfólk</dc:creator>
  <cp:lastModifiedBy>Þorgerður Gunnarsdóttir</cp:lastModifiedBy>
  <cp:lastPrinted>2018-06-29T15:01:45Z</cp:lastPrinted>
  <dcterms:created xsi:type="dcterms:W3CDTF">2010-10-18T17:49:09Z</dcterms:created>
  <dcterms:modified xsi:type="dcterms:W3CDTF">2018-06-29T15:02:26Z</dcterms:modified>
</cp:coreProperties>
</file>