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56" windowWidth="9405" windowHeight="5445" activeTab="0"/>
  </bookViews>
  <sheets>
    <sheet name="Áætlun stofnframlaga 2004" sheetId="1" r:id="rId1"/>
    <sheet name="Sheet1" sheetId="2" r:id="rId2"/>
    <sheet name="Úthlutun 2000" sheetId="3" r:id="rId3"/>
  </sheets>
  <definedNames>
    <definedName name="aust1">'Úthlutun 2000'!$B$57</definedName>
    <definedName name="aust2">'Úthlutun 2000'!$C$57</definedName>
    <definedName name="aust3">'Úthlutun 2000'!$D$57</definedName>
    <definedName name="aust4">'Úthlutun 2000'!$F$57</definedName>
    <definedName name="aust5">'Úthlutun 2000'!$G$57</definedName>
    <definedName name="aust6">'Úthlutun 2000'!$H$57</definedName>
    <definedName name="aust7">'Úthlutun 2000'!$E$57</definedName>
    <definedName name="austsam">'Úthlutun 2000'!$I$57</definedName>
    <definedName name="ne1">'Úthlutun 2000'!$B$42</definedName>
    <definedName name="ne2">'Úthlutun 2000'!$C$42</definedName>
    <definedName name="ne3">'Úthlutun 2000'!$D$42</definedName>
    <definedName name="ne4">'Úthlutun 2000'!$F$42</definedName>
    <definedName name="ne5">'Úthlutun 2000'!$G$42</definedName>
    <definedName name="ne6">'Úthlutun 2000'!$H$42</definedName>
    <definedName name="ne7">'Úthlutun 2000'!$E$42</definedName>
    <definedName name="nesam">'Úthlutun 2000'!$I$42</definedName>
    <definedName name="nv1">'Úthlutun 2000'!$B$30</definedName>
    <definedName name="nv2">'Úthlutun 2000'!$C$30</definedName>
    <definedName name="nv3">'Úthlutun 2000'!$D$30</definedName>
    <definedName name="nv4">'Úthlutun 2000'!$F$30</definedName>
    <definedName name="nv5">'Úthlutun 2000'!$G$30</definedName>
    <definedName name="nv6">'Úthlutun 2000'!$H$30</definedName>
    <definedName name="nv7">'Úthlutun 2000'!$E$30</definedName>
    <definedName name="nvsam">'Úthlutun 2000'!$I$30</definedName>
    <definedName name="_xlnm.Print_Titles" localSheetId="0">'Áætlun stofnframlaga 2004'!$1:$1</definedName>
    <definedName name="_xlnm.Print_Titles" localSheetId="2">'Úthlutun 2000'!$1:$2</definedName>
    <definedName name="pró">'Úthlutun 2000'!#REF!</definedName>
    <definedName name="rek1">'Úthlutun 2000'!$B$9</definedName>
    <definedName name="rek2">'Úthlutun 2000'!$C$9</definedName>
    <definedName name="rek3">'Úthlutun 2000'!$D$9</definedName>
    <definedName name="rek4">'Úthlutun 2000'!$F$9</definedName>
    <definedName name="rek5">'Úthlutun 2000'!$G$9</definedName>
    <definedName name="rek6">'Úthlutun 2000'!$H$9</definedName>
    <definedName name="rek7">'Úthlutun 2000'!$E$9</definedName>
    <definedName name="reksam">'Úthlutun 2000'!$I$9</definedName>
    <definedName name="su1">'Úthlutun 2000'!$B$73</definedName>
    <definedName name="su2">'Úthlutun 2000'!$C$73</definedName>
    <definedName name="su3">'Úthlutun 2000'!$D$73</definedName>
    <definedName name="su4">'Úthlutun 2000'!$F$73</definedName>
    <definedName name="su5">'Úthlutun 2000'!$G$73</definedName>
    <definedName name="su6">'Úthlutun 2000'!$H$73</definedName>
    <definedName name="su7">'Úthlutun 2000'!$E$73</definedName>
    <definedName name="susam">'Úthlutun 2000'!$I$73</definedName>
    <definedName name="ves1">'Úthlutun 2000'!$B$17</definedName>
    <definedName name="ves2">'Úthlutun 2000'!$C$17</definedName>
    <definedName name="ves3">'Úthlutun 2000'!$D$17</definedName>
    <definedName name="ves4">'Úthlutun 2000'!$F$17</definedName>
    <definedName name="ves5">'Úthlutun 2000'!$G$17</definedName>
    <definedName name="ves6">'Úthlutun 2000'!$H$17</definedName>
    <definedName name="ves7">'Úthlutun 2000'!$E$17</definedName>
    <definedName name="vessam">'Úthlutun 2000'!$I$17</definedName>
    <definedName name="vf1">'Úthlutun 2000'!$B$24</definedName>
    <definedName name="vf2">'Úthlutun 2000'!$C$24</definedName>
    <definedName name="vf3">'Úthlutun 2000'!$D$24</definedName>
    <definedName name="vf4">'Úthlutun 2000'!$F$24</definedName>
    <definedName name="vf5">'Úthlutun 2000'!$G$24</definedName>
    <definedName name="vf6">'Úthlutun 2000'!$H$24</definedName>
    <definedName name="vf7">'Úthlutun 2000'!$E$24</definedName>
    <definedName name="vfsam">'Úthlutun 2000'!$I$24</definedName>
  </definedNames>
  <calcPr fullCalcOnLoad="1"/>
</workbook>
</file>

<file path=xl/sharedStrings.xml><?xml version="1.0" encoding="utf-8"?>
<sst xmlns="http://schemas.openxmlformats.org/spreadsheetml/2006/main" count="241" uniqueCount="120">
  <si>
    <t>Sveitarfélög</t>
  </si>
  <si>
    <t>Vatnsveitu-framkvæmdir</t>
  </si>
  <si>
    <t>Skólamannvirki</t>
  </si>
  <si>
    <t>Íþróttamannvirki</t>
  </si>
  <si>
    <t>Sundlaugar</t>
  </si>
  <si>
    <t>Leikskólar</t>
  </si>
  <si>
    <t>Önnur íþrótta-mannvirki</t>
  </si>
  <si>
    <t>Félagsheimili</t>
  </si>
  <si>
    <t>Samtals</t>
  </si>
  <si>
    <t>Reykjanes:</t>
  </si>
  <si>
    <t>Sandgerðisbær</t>
  </si>
  <si>
    <t>Gerðahreppur</t>
  </si>
  <si>
    <t>Vatnsleyslustrhrp.</t>
  </si>
  <si>
    <t>Bessastaðahreppur</t>
  </si>
  <si>
    <t>Reykjavíkurb.v/Kjalarn.</t>
  </si>
  <si>
    <t>Samtals:</t>
  </si>
  <si>
    <t>Vesturland:</t>
  </si>
  <si>
    <t>Leikskólinn Fannahlíð</t>
  </si>
  <si>
    <t>Borgarfjarðarsveit</t>
  </si>
  <si>
    <t>Snæfellsbær</t>
  </si>
  <si>
    <t>Eyrarsveit</t>
  </si>
  <si>
    <t>Stykkishólmsbær</t>
  </si>
  <si>
    <t>Vestfirðir:</t>
  </si>
  <si>
    <t>Reykhólahreppur</t>
  </si>
  <si>
    <t>Tálknafjarðarhreppur</t>
  </si>
  <si>
    <t>Súðavíkurhreppur</t>
  </si>
  <si>
    <t>Hólmavíkurhreppur</t>
  </si>
  <si>
    <t>Norðurland vestra:</t>
  </si>
  <si>
    <t>Höfðahreppur</t>
  </si>
  <si>
    <t>Skagafj./Hofshreppur</t>
  </si>
  <si>
    <t>Siglufjarðarkaupstaður</t>
  </si>
  <si>
    <t>Norðurland eystra:</t>
  </si>
  <si>
    <t>Ólafsfjarðarkaupst.</t>
  </si>
  <si>
    <t>Grímseyjarhreppur</t>
  </si>
  <si>
    <t>Eyjafjarðarsveit</t>
  </si>
  <si>
    <t>Grýtubakkahreppur</t>
  </si>
  <si>
    <t>Skútustaðahreppur</t>
  </si>
  <si>
    <t>Aðaldælahreppur</t>
  </si>
  <si>
    <t>Öxarfjarðarhreppur</t>
  </si>
  <si>
    <t>Raufarhafnarhreppur</t>
  </si>
  <si>
    <t>Grunnskólinn Þórshöfn</t>
  </si>
  <si>
    <t>Austurland:</t>
  </si>
  <si>
    <t>Vopnafjarðarhreppur</t>
  </si>
  <si>
    <t>Norður Hérað</t>
  </si>
  <si>
    <t>Austur-Hérað/Eiðahrp.</t>
  </si>
  <si>
    <t>Austur-Hérað/Egilsst.</t>
  </si>
  <si>
    <t>Fellahreppur</t>
  </si>
  <si>
    <t>Seyðisfjarðarkaupstaður</t>
  </si>
  <si>
    <t>Fjarðabyggð Neskaupst.</t>
  </si>
  <si>
    <t>Fjarðabyggð Eskifj.</t>
  </si>
  <si>
    <t>Fjarðabyggð Reyðarfj.</t>
  </si>
  <si>
    <t>Búðahreppur</t>
  </si>
  <si>
    <t>Stöðvarhreppur</t>
  </si>
  <si>
    <t>Breiðdalshreppur</t>
  </si>
  <si>
    <t>Suðurland:</t>
  </si>
  <si>
    <t>Mýrdalshreppur</t>
  </si>
  <si>
    <t>Skaftárhreppur</t>
  </si>
  <si>
    <t>Hvolhreppur</t>
  </si>
  <si>
    <t>Rangárvallahreppur</t>
  </si>
  <si>
    <t>Laugalandsskóli</t>
  </si>
  <si>
    <t>Djúpárhreppur</t>
  </si>
  <si>
    <t>Skeiðahreppur</t>
  </si>
  <si>
    <t>Gnúpverjahreppur</t>
  </si>
  <si>
    <t>Hrunamannahreppur</t>
  </si>
  <si>
    <t>Biskupstungnahreppur</t>
  </si>
  <si>
    <t>Hveragerðisbær</t>
  </si>
  <si>
    <t>Ölfushreppur</t>
  </si>
  <si>
    <t>Grímsn. og Grafningshrp.</t>
  </si>
  <si>
    <t>Samantekt:</t>
  </si>
  <si>
    <t>Reykjanes</t>
  </si>
  <si>
    <t>Vesturland</t>
  </si>
  <si>
    <t>Vestfirðir</t>
  </si>
  <si>
    <t>Norðurland vestra</t>
  </si>
  <si>
    <t>Norðurland eystra</t>
  </si>
  <si>
    <t>Austurland</t>
  </si>
  <si>
    <t>Suðurland</t>
  </si>
  <si>
    <t>Skólamann-virki</t>
  </si>
  <si>
    <t>Íþróttamann-virki</t>
  </si>
  <si>
    <t>Vatnsleyslustrandarhrp.</t>
  </si>
  <si>
    <t>Kjósarhreppur</t>
  </si>
  <si>
    <t>Svf.í Borgarf.v/Andakhr.</t>
  </si>
  <si>
    <t>Dalabyggð (Árblik)</t>
  </si>
  <si>
    <t xml:space="preserve">Ísafjarðarbær/Flateyri </t>
  </si>
  <si>
    <t>Laugarbakkaskóli</t>
  </si>
  <si>
    <t>Skagafjörður/Hofshreppur</t>
  </si>
  <si>
    <t>Skagafjörður/Hólahrp.</t>
  </si>
  <si>
    <t>Ólafsfjörður</t>
  </si>
  <si>
    <t>Dalvíkurb.v/Svarfaðardh.</t>
  </si>
  <si>
    <t>Dalvíkurb.v/Árskógsstr.</t>
  </si>
  <si>
    <t>Svalbarðsstrandarhreppur</t>
  </si>
  <si>
    <t>Reykdælahreppur</t>
  </si>
  <si>
    <t>Stórutjarnarskóli</t>
  </si>
  <si>
    <t>Brúarásskóli</t>
  </si>
  <si>
    <t>Norður-Hérað v/Jökuldh.</t>
  </si>
  <si>
    <t>Austur-Hérað/Hallormsstm</t>
  </si>
  <si>
    <t>Austur-Hérað/Egilsstaðir</t>
  </si>
  <si>
    <t>Borgarfjarðarhreppur</t>
  </si>
  <si>
    <t>Ljósafossskóli</t>
  </si>
  <si>
    <t>Grímsnes- og Grafningshrp.</t>
  </si>
  <si>
    <t>Þórshafnarhreppur</t>
  </si>
  <si>
    <t>Fjarðabyggð v/Grsk.Reyðf.</t>
  </si>
  <si>
    <t>Sveitarfélagið Ölfus</t>
  </si>
  <si>
    <t>Hvalfjarðarstrandarhreppur</t>
  </si>
  <si>
    <t>Þingeyjarsveit</t>
  </si>
  <si>
    <t>Dalabyggð</t>
  </si>
  <si>
    <t>Bolungarvíkurkaupstaður</t>
  </si>
  <si>
    <t>Vesturbyggð/Bíldudalshreppur</t>
  </si>
  <si>
    <t>Vesturbyggð/Patreksfjörður</t>
  </si>
  <si>
    <t>Kaldrananeshreppur</t>
  </si>
  <si>
    <t xml:space="preserve">  Siglufjarðarkaupstaður</t>
  </si>
  <si>
    <t>Arnarneshreppur</t>
  </si>
  <si>
    <t>Fjarðabyggð v/sundlaugar</t>
  </si>
  <si>
    <t>Fljótsdalshreppur</t>
  </si>
  <si>
    <t>Mjóafjarðarhreppur</t>
  </si>
  <si>
    <t>Austurbyggð/v.Búðahrepps</t>
  </si>
  <si>
    <t>Austurbyggð v/Stöðvarhrepps</t>
  </si>
  <si>
    <t>Djúpavogshreppur</t>
  </si>
  <si>
    <t>Rangárþing eystra</t>
  </si>
  <si>
    <t>Villingaholtshreppur</t>
  </si>
  <si>
    <t>Varmalandsskóli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</si>
</sst>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Arial"/>
      <family val="0"/>
    </font>
    <font>
      <sz val="12"/>
      <name val="Times New Roman"/>
      <family val="0"/>
    </font>
    <font>
      <b/>
      <i/>
      <sz val="12"/>
      <name val="Times New Roman"/>
      <family val="0"/>
    </font>
    <font>
      <b/>
      <sz val="12"/>
      <name val="Times New Roman"/>
      <family val="0"/>
    </font>
    <font>
      <b/>
      <i/>
      <sz val="14"/>
      <name val="Times New Roman"/>
      <family val="0"/>
    </font>
    <font>
      <b/>
      <i/>
      <sz val="12"/>
      <color indexed="10"/>
      <name val="Times New Roman"/>
      <family val="0"/>
    </font>
    <font>
      <b/>
      <sz val="12"/>
      <color indexed="10"/>
      <name val="Times New Roman"/>
      <family val="0"/>
    </font>
    <font>
      <b/>
      <sz val="11"/>
      <color indexed="10"/>
      <name val="Arial"/>
      <family val="0"/>
    </font>
    <font>
      <b/>
      <sz val="10"/>
      <color indexed="10"/>
      <name val="MS Sans Serif"/>
      <family val="0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0"/>
    </font>
    <font>
      <b/>
      <i/>
      <sz val="10"/>
      <color indexed="10"/>
      <name val="Times New Roman"/>
      <family val="0"/>
    </font>
    <font>
      <b/>
      <sz val="10"/>
      <color indexed="10"/>
      <name val="Times New Roman"/>
      <family val="0"/>
    </font>
    <font>
      <b/>
      <sz val="10"/>
      <name val="Times New Roman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0" fillId="0" borderId="0" xfId="0" applyFont="1" applyAlignment="1">
      <alignment horizontal="right"/>
    </xf>
    <xf numFmtId="3" fontId="13" fillId="0" borderId="4" xfId="0" applyNumberFormat="1" applyFont="1" applyBorder="1" applyAlignment="1">
      <alignment horizontal="right"/>
    </xf>
    <xf numFmtId="3" fontId="13" fillId="0" borderId="13" xfId="0" applyNumberFormat="1" applyFont="1" applyBorder="1" applyAlignment="1">
      <alignment horizontal="right"/>
    </xf>
    <xf numFmtId="0" fontId="17" fillId="0" borderId="5" xfId="0" applyFont="1" applyBorder="1" applyAlignment="1">
      <alignment horizontal="left"/>
    </xf>
    <xf numFmtId="3" fontId="18" fillId="0" borderId="11" xfId="0" applyNumberFormat="1" applyFont="1" applyBorder="1" applyAlignment="1">
      <alignment horizontal="right"/>
    </xf>
    <xf numFmtId="3" fontId="18" fillId="0" borderId="12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8" fillId="0" borderId="0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0" fontId="16" fillId="0" borderId="0" xfId="0" applyFont="1" applyAlignment="1">
      <alignment horizontal="left"/>
    </xf>
    <xf numFmtId="3" fontId="19" fillId="0" borderId="0" xfId="0" applyNumberFormat="1" applyFont="1" applyAlignment="1">
      <alignment horizontal="right"/>
    </xf>
    <xf numFmtId="0" fontId="13" fillId="0" borderId="4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3" fontId="13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center"/>
    </xf>
    <xf numFmtId="3" fontId="13" fillId="0" borderId="15" xfId="0" applyNumberFormat="1" applyFont="1" applyBorder="1" applyAlignment="1">
      <alignment horizontal="right"/>
    </xf>
    <xf numFmtId="0" fontId="16" fillId="0" borderId="7" xfId="0" applyFont="1" applyBorder="1" applyAlignment="1">
      <alignment horizontal="left"/>
    </xf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center"/>
    </xf>
    <xf numFmtId="3" fontId="13" fillId="0" borderId="16" xfId="0" applyNumberFormat="1" applyFont="1" applyBorder="1" applyAlignment="1">
      <alignment horizontal="right"/>
    </xf>
    <xf numFmtId="0" fontId="13" fillId="0" borderId="8" xfId="0" applyFont="1" applyBorder="1" applyAlignment="1">
      <alignment horizontal="left"/>
    </xf>
    <xf numFmtId="3" fontId="13" fillId="0" borderId="17" xfId="0" applyNumberFormat="1" applyFont="1" applyBorder="1" applyAlignment="1">
      <alignment horizontal="right"/>
    </xf>
    <xf numFmtId="0" fontId="13" fillId="0" borderId="6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3" fontId="18" fillId="0" borderId="16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3" fontId="5" fillId="0" borderId="18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/>
    </xf>
    <xf numFmtId="3" fontId="5" fillId="0" borderId="19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3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9" fillId="0" borderId="0" xfId="0" applyFont="1" applyBorder="1" applyAlignment="1">
      <alignment horizontal="left"/>
    </xf>
    <xf numFmtId="3" fontId="10" fillId="0" borderId="2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3" fontId="5" fillId="0" borderId="12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3" fontId="21" fillId="0" borderId="4" xfId="0" applyNumberFormat="1" applyFont="1" applyBorder="1" applyAlignment="1">
      <alignment horizontal="right"/>
    </xf>
    <xf numFmtId="0" fontId="7" fillId="0" borderId="18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 topLeftCell="A1">
      <pane ySplit="1" topLeftCell="BM2" activePane="bottomLeft" state="frozen"/>
      <selection pane="topLeft" activeCell="A1" sqref="A1"/>
      <selection pane="bottomLeft" activeCell="C57" sqref="C57"/>
    </sheetView>
  </sheetViews>
  <sheetFormatPr defaultColWidth="9.140625" defaultRowHeight="12.75"/>
  <cols>
    <col min="1" max="1" width="26.28125" style="5" customWidth="1"/>
    <col min="2" max="2" width="11.28125" style="6" bestFit="1" customWidth="1"/>
    <col min="3" max="3" width="12.57421875" style="6" bestFit="1" customWidth="1"/>
    <col min="4" max="4" width="14.140625" style="6" customWidth="1"/>
    <col min="5" max="5" width="12.7109375" style="6" customWidth="1"/>
    <col min="6" max="6" width="15.28125" style="6" bestFit="1" customWidth="1"/>
    <col min="7" max="7" width="12.7109375" style="6" customWidth="1"/>
    <col min="8" max="8" width="12.7109375" style="26" customWidth="1"/>
    <col min="9" max="9" width="14.57421875" style="6" customWidth="1"/>
  </cols>
  <sheetData>
    <row r="1" spans="1:9" s="4" customFormat="1" ht="49.5" customHeight="1">
      <c r="A1" s="35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5" t="s">
        <v>8</v>
      </c>
    </row>
    <row r="2" spans="1:9" ht="15.75">
      <c r="A2" s="81" t="s">
        <v>9</v>
      </c>
      <c r="B2" s="82"/>
      <c r="C2" s="82"/>
      <c r="D2" s="82"/>
      <c r="E2" s="83"/>
      <c r="F2" s="82"/>
      <c r="G2" s="82"/>
      <c r="H2" s="83"/>
      <c r="I2" s="82"/>
    </row>
    <row r="3" spans="1:9" ht="15.75">
      <c r="A3" s="14" t="s">
        <v>13</v>
      </c>
      <c r="B3" s="27"/>
      <c r="C3" s="27">
        <v>25061000</v>
      </c>
      <c r="D3" s="27"/>
      <c r="E3" s="27"/>
      <c r="F3" s="27"/>
      <c r="G3" s="27"/>
      <c r="H3" s="27"/>
      <c r="I3" s="27">
        <f>SUM(B3:H3)</f>
        <v>25061000</v>
      </c>
    </row>
    <row r="4" spans="1:9" ht="15.75">
      <c r="A4" s="91" t="s">
        <v>11</v>
      </c>
      <c r="B4" s="31"/>
      <c r="C4" s="94">
        <v>285000</v>
      </c>
      <c r="D4" s="31"/>
      <c r="E4" s="31"/>
      <c r="F4" s="31"/>
      <c r="G4" s="31"/>
      <c r="H4" s="31"/>
      <c r="I4" s="95">
        <f>SUM(B4:H4)</f>
        <v>285000</v>
      </c>
    </row>
    <row r="5" spans="1:9" s="12" customFormat="1" ht="15.75">
      <c r="A5" s="15" t="s">
        <v>15</v>
      </c>
      <c r="B5" s="28">
        <f>SUM(B3:B3)</f>
        <v>0</v>
      </c>
      <c r="C5" s="28">
        <f>SUM(C3:C4)</f>
        <v>25346000</v>
      </c>
      <c r="D5" s="28">
        <f aca="true" t="shared" si="0" ref="D5:I5">SUM(D3:D4)</f>
        <v>0</v>
      </c>
      <c r="E5" s="28">
        <f t="shared" si="0"/>
        <v>0</v>
      </c>
      <c r="F5" s="28">
        <f t="shared" si="0"/>
        <v>0</v>
      </c>
      <c r="G5" s="28">
        <f t="shared" si="0"/>
        <v>0</v>
      </c>
      <c r="H5" s="28">
        <f t="shared" si="0"/>
        <v>0</v>
      </c>
      <c r="I5" s="28">
        <f t="shared" si="0"/>
        <v>25346000</v>
      </c>
    </row>
    <row r="6" spans="1:9" ht="15.75">
      <c r="A6" s="16"/>
      <c r="B6" s="26"/>
      <c r="C6" s="26"/>
      <c r="D6" s="26"/>
      <c r="E6" s="26"/>
      <c r="F6" s="26"/>
      <c r="G6" s="26"/>
      <c r="I6" s="32"/>
    </row>
    <row r="7" spans="1:9" ht="15.75">
      <c r="A7" s="85" t="s">
        <v>16</v>
      </c>
      <c r="B7" s="33"/>
      <c r="C7" s="33"/>
      <c r="D7" s="33"/>
      <c r="E7" s="33"/>
      <c r="F7" s="33"/>
      <c r="G7" s="33"/>
      <c r="H7" s="33"/>
      <c r="I7" s="86"/>
    </row>
    <row r="8" spans="1:9" ht="15.75">
      <c r="A8" s="77" t="s">
        <v>102</v>
      </c>
      <c r="B8" s="78">
        <v>1229000</v>
      </c>
      <c r="C8" s="78"/>
      <c r="D8" s="78"/>
      <c r="E8" s="78"/>
      <c r="F8" s="78"/>
      <c r="G8" s="78"/>
      <c r="H8" s="78"/>
      <c r="I8" s="84">
        <f>SUM(B8:H8)</f>
        <v>1229000</v>
      </c>
    </row>
    <row r="9" spans="1:9" ht="15.75">
      <c r="A9" s="99" t="s">
        <v>119</v>
      </c>
      <c r="B9" s="78"/>
      <c r="C9" s="78">
        <v>8960000</v>
      </c>
      <c r="D9" s="78"/>
      <c r="E9" s="78"/>
      <c r="F9" s="78"/>
      <c r="G9" s="78"/>
      <c r="H9" s="78"/>
      <c r="I9" s="84">
        <f>SUM(B9:H9)</f>
        <v>8960000</v>
      </c>
    </row>
    <row r="10" spans="1:9" ht="15.75">
      <c r="A10" s="96" t="s">
        <v>18</v>
      </c>
      <c r="B10" s="27">
        <v>0</v>
      </c>
      <c r="C10" s="27">
        <v>0</v>
      </c>
      <c r="D10" s="27"/>
      <c r="E10" s="27"/>
      <c r="F10" s="95">
        <v>1200000</v>
      </c>
      <c r="G10" s="27"/>
      <c r="H10" s="27">
        <v>0</v>
      </c>
      <c r="I10" s="38">
        <f>SUM(B10:H10)</f>
        <v>1200000</v>
      </c>
    </row>
    <row r="11" spans="1:9" ht="15.75">
      <c r="A11" s="14" t="s">
        <v>21</v>
      </c>
      <c r="B11" s="27">
        <v>0</v>
      </c>
      <c r="C11" s="27"/>
      <c r="D11" s="27"/>
      <c r="E11" s="27"/>
      <c r="F11" s="27">
        <v>0</v>
      </c>
      <c r="G11" s="27"/>
      <c r="H11" s="27"/>
      <c r="I11" s="38">
        <f>SUM(B11:H11)</f>
        <v>0</v>
      </c>
    </row>
    <row r="12" spans="1:9" ht="15.75">
      <c r="A12" s="14" t="s">
        <v>104</v>
      </c>
      <c r="B12" s="27"/>
      <c r="C12" s="27">
        <v>6521000</v>
      </c>
      <c r="D12" s="27"/>
      <c r="E12" s="27"/>
      <c r="F12" s="27"/>
      <c r="G12" s="27"/>
      <c r="H12" s="27"/>
      <c r="I12" s="38">
        <f>SUM(B12:H12)</f>
        <v>6521000</v>
      </c>
    </row>
    <row r="13" spans="1:9" s="11" customFormat="1" ht="15.75">
      <c r="A13" s="15" t="s">
        <v>15</v>
      </c>
      <c r="B13" s="28">
        <f aca="true" t="shared" si="1" ref="B13:I13">SUM(B8:B12)</f>
        <v>1229000</v>
      </c>
      <c r="C13" s="28">
        <f t="shared" si="1"/>
        <v>15481000</v>
      </c>
      <c r="D13" s="28">
        <f t="shared" si="1"/>
        <v>0</v>
      </c>
      <c r="E13" s="28">
        <f t="shared" si="1"/>
        <v>0</v>
      </c>
      <c r="F13" s="28">
        <f t="shared" si="1"/>
        <v>1200000</v>
      </c>
      <c r="G13" s="28">
        <f t="shared" si="1"/>
        <v>0</v>
      </c>
      <c r="H13" s="28">
        <f t="shared" si="1"/>
        <v>0</v>
      </c>
      <c r="I13" s="34">
        <f t="shared" si="1"/>
        <v>17910000</v>
      </c>
    </row>
    <row r="14" spans="1:9" ht="15.75">
      <c r="A14" s="16"/>
      <c r="B14" s="26"/>
      <c r="C14" s="26"/>
      <c r="D14" s="26"/>
      <c r="E14" s="26"/>
      <c r="F14" s="26"/>
      <c r="G14" s="26"/>
      <c r="I14" s="26"/>
    </row>
    <row r="15" spans="1:9" ht="15.75">
      <c r="A15" s="85" t="s">
        <v>22</v>
      </c>
      <c r="B15" s="33"/>
      <c r="C15" s="33"/>
      <c r="D15" s="33"/>
      <c r="E15" s="33"/>
      <c r="F15" s="33"/>
      <c r="G15" s="33"/>
      <c r="H15" s="33"/>
      <c r="I15" s="33"/>
    </row>
    <row r="16" spans="1:9" ht="15.75">
      <c r="A16" s="77" t="s">
        <v>105</v>
      </c>
      <c r="B16" s="78">
        <v>1682000</v>
      </c>
      <c r="C16" s="78"/>
      <c r="D16" s="78"/>
      <c r="E16" s="78"/>
      <c r="F16" s="78">
        <v>0</v>
      </c>
      <c r="G16" s="78"/>
      <c r="H16" s="78"/>
      <c r="I16" s="78">
        <f>SUM(B16:H16)</f>
        <v>1682000</v>
      </c>
    </row>
    <row r="17" spans="1:9" ht="15.75">
      <c r="A17" s="77" t="s">
        <v>23</v>
      </c>
      <c r="B17" s="78"/>
      <c r="C17" s="78"/>
      <c r="D17" s="78">
        <v>19534000</v>
      </c>
      <c r="E17" s="78"/>
      <c r="F17" s="78"/>
      <c r="G17" s="78"/>
      <c r="H17" s="78"/>
      <c r="I17" s="78">
        <f>SUM(B17:H17)</f>
        <v>19534000</v>
      </c>
    </row>
    <row r="18" spans="1:9" ht="15.75">
      <c r="A18" s="14" t="s">
        <v>106</v>
      </c>
      <c r="B18" s="27"/>
      <c r="C18" s="27"/>
      <c r="D18" s="27">
        <v>10000000</v>
      </c>
      <c r="E18" s="27"/>
      <c r="F18" s="27"/>
      <c r="G18" s="27"/>
      <c r="H18" s="27"/>
      <c r="I18" s="78">
        <f>SUM(B18:H18)</f>
        <v>10000000</v>
      </c>
    </row>
    <row r="19" spans="1:9" ht="15.75">
      <c r="A19" s="14" t="s">
        <v>107</v>
      </c>
      <c r="B19" s="27"/>
      <c r="C19" s="27"/>
      <c r="D19" s="27">
        <v>12000000</v>
      </c>
      <c r="E19" s="27"/>
      <c r="F19" s="27"/>
      <c r="G19" s="27"/>
      <c r="H19" s="27"/>
      <c r="I19" s="78">
        <f>SUM(B19:H19)</f>
        <v>12000000</v>
      </c>
    </row>
    <row r="20" spans="1:9" ht="15.75">
      <c r="A20" s="97" t="s">
        <v>108</v>
      </c>
      <c r="B20" s="27"/>
      <c r="C20" s="27"/>
      <c r="D20" s="27"/>
      <c r="E20" s="27">
        <v>5000000</v>
      </c>
      <c r="F20" s="95">
        <v>2685000</v>
      </c>
      <c r="G20" s="27"/>
      <c r="H20" s="27"/>
      <c r="I20" s="27">
        <f>SUM(B20:H20)</f>
        <v>7685000</v>
      </c>
    </row>
    <row r="21" spans="1:9" s="12" customFormat="1" ht="15.75">
      <c r="A21" s="15" t="s">
        <v>15</v>
      </c>
      <c r="B21" s="28">
        <f aca="true" t="shared" si="2" ref="B21:I21">SUM(B16:B20)</f>
        <v>1682000</v>
      </c>
      <c r="C21" s="28">
        <f t="shared" si="2"/>
        <v>0</v>
      </c>
      <c r="D21" s="28">
        <f t="shared" si="2"/>
        <v>41534000</v>
      </c>
      <c r="E21" s="28">
        <f t="shared" si="2"/>
        <v>5000000</v>
      </c>
      <c r="F21" s="28">
        <f t="shared" si="2"/>
        <v>2685000</v>
      </c>
      <c r="G21" s="28">
        <f t="shared" si="2"/>
        <v>0</v>
      </c>
      <c r="H21" s="28">
        <f t="shared" si="2"/>
        <v>0</v>
      </c>
      <c r="I21" s="34">
        <f t="shared" si="2"/>
        <v>50901000</v>
      </c>
    </row>
    <row r="22" spans="1:9" s="12" customFormat="1" ht="15.75">
      <c r="A22" s="87"/>
      <c r="B22" s="32"/>
      <c r="C22" s="32"/>
      <c r="D22" s="32"/>
      <c r="E22" s="32"/>
      <c r="F22" s="32"/>
      <c r="G22" s="32"/>
      <c r="H22" s="32"/>
      <c r="I22" s="32"/>
    </row>
    <row r="23" spans="1:9" s="12" customFormat="1" ht="15.75">
      <c r="A23" s="85" t="s">
        <v>27</v>
      </c>
      <c r="B23" s="88"/>
      <c r="C23" s="88"/>
      <c r="D23" s="88"/>
      <c r="E23" s="88"/>
      <c r="F23" s="88"/>
      <c r="G23" s="88"/>
      <c r="H23" s="88"/>
      <c r="I23" s="88"/>
    </row>
    <row r="24" spans="1:9" s="12" customFormat="1" ht="15.75">
      <c r="A24" s="92" t="s">
        <v>109</v>
      </c>
      <c r="B24" s="28"/>
      <c r="C24" s="28"/>
      <c r="D24" s="89">
        <v>0</v>
      </c>
      <c r="E24" s="28"/>
      <c r="F24" s="28"/>
      <c r="G24" s="28"/>
      <c r="H24" s="28"/>
      <c r="I24" s="93">
        <v>0</v>
      </c>
    </row>
    <row r="25" spans="1:9" s="12" customFormat="1" ht="15.75">
      <c r="A25" s="15" t="s">
        <v>15</v>
      </c>
      <c r="B25" s="28">
        <f>SUM(B24:B24)</f>
        <v>0</v>
      </c>
      <c r="C25" s="28">
        <f aca="true" t="shared" si="3" ref="C25:I25">SUM(C24:C24)</f>
        <v>0</v>
      </c>
      <c r="D25" s="28">
        <f t="shared" si="3"/>
        <v>0</v>
      </c>
      <c r="E25" s="28">
        <f t="shared" si="3"/>
        <v>0</v>
      </c>
      <c r="F25" s="28">
        <f t="shared" si="3"/>
        <v>0</v>
      </c>
      <c r="G25" s="28">
        <f t="shared" si="3"/>
        <v>0</v>
      </c>
      <c r="H25" s="28">
        <f t="shared" si="3"/>
        <v>0</v>
      </c>
      <c r="I25" s="34">
        <f t="shared" si="3"/>
        <v>0</v>
      </c>
    </row>
    <row r="26" spans="1:9" s="12" customFormat="1" ht="15.75">
      <c r="A26" s="87"/>
      <c r="B26" s="32"/>
      <c r="C26" s="32"/>
      <c r="D26" s="32"/>
      <c r="E26" s="32"/>
      <c r="F26" s="32"/>
      <c r="G26" s="32"/>
      <c r="H26" s="32"/>
      <c r="I26" s="32"/>
    </row>
    <row r="27" spans="1:9" s="12" customFormat="1" ht="15.75">
      <c r="A27" s="87"/>
      <c r="B27" s="32"/>
      <c r="C27" s="32"/>
      <c r="D27" s="32"/>
      <c r="E27" s="32"/>
      <c r="F27" s="32"/>
      <c r="G27" s="32"/>
      <c r="H27" s="32"/>
      <c r="I27" s="32"/>
    </row>
    <row r="28" spans="1:9" s="12" customFormat="1" ht="15.75">
      <c r="A28" s="87"/>
      <c r="B28" s="32"/>
      <c r="C28" s="32"/>
      <c r="D28" s="32"/>
      <c r="E28" s="32"/>
      <c r="F28" s="32"/>
      <c r="G28" s="32"/>
      <c r="H28" s="32"/>
      <c r="I28" s="32"/>
    </row>
    <row r="29" spans="1:9" s="3" customFormat="1" ht="15.75">
      <c r="A29" s="17"/>
      <c r="B29" s="29"/>
      <c r="C29" s="29"/>
      <c r="D29" s="29"/>
      <c r="E29" s="29"/>
      <c r="F29" s="29"/>
      <c r="G29" s="29"/>
      <c r="H29" s="29"/>
      <c r="I29" s="29"/>
    </row>
    <row r="30" spans="1:9" s="1" customFormat="1" ht="15.75">
      <c r="A30" s="85" t="s">
        <v>31</v>
      </c>
      <c r="B30" s="33"/>
      <c r="C30" s="33"/>
      <c r="D30" s="33"/>
      <c r="E30" s="33"/>
      <c r="F30" s="33"/>
      <c r="G30" s="33"/>
      <c r="H30" s="33"/>
      <c r="I30" s="33"/>
    </row>
    <row r="31" spans="1:9" s="1" customFormat="1" ht="15.75">
      <c r="A31" s="77" t="s">
        <v>110</v>
      </c>
      <c r="B31" s="78"/>
      <c r="C31" s="78"/>
      <c r="D31" s="78"/>
      <c r="E31" s="78"/>
      <c r="F31" s="78"/>
      <c r="G31" s="78"/>
      <c r="H31" s="90">
        <v>0</v>
      </c>
      <c r="I31" s="78">
        <f aca="true" t="shared" si="4" ref="I31:I36">SUM(B31:H31)</f>
        <v>0</v>
      </c>
    </row>
    <row r="32" spans="1:9" s="1" customFormat="1" ht="15.75">
      <c r="A32" s="14" t="s">
        <v>89</v>
      </c>
      <c r="B32" s="27">
        <v>1019000</v>
      </c>
      <c r="C32" s="27">
        <v>15437000</v>
      </c>
      <c r="D32" s="27"/>
      <c r="E32" s="27"/>
      <c r="F32" s="95">
        <v>3939000</v>
      </c>
      <c r="G32" s="27"/>
      <c r="H32" s="27"/>
      <c r="I32" s="27">
        <f t="shared" si="4"/>
        <v>20395000</v>
      </c>
    </row>
    <row r="33" spans="1:9" s="1" customFormat="1" ht="15.75">
      <c r="A33" s="14" t="s">
        <v>35</v>
      </c>
      <c r="B33" s="27"/>
      <c r="C33" s="27"/>
      <c r="D33" s="27">
        <v>5202000</v>
      </c>
      <c r="E33" s="27">
        <v>1628000</v>
      </c>
      <c r="F33" s="27"/>
      <c r="G33" s="27"/>
      <c r="H33" s="27"/>
      <c r="I33" s="27">
        <f t="shared" si="4"/>
        <v>6830000</v>
      </c>
    </row>
    <row r="34" spans="1:9" s="1" customFormat="1" ht="15.75">
      <c r="A34" s="14" t="s">
        <v>37</v>
      </c>
      <c r="B34" s="27"/>
      <c r="C34" s="27"/>
      <c r="D34" s="27"/>
      <c r="E34" s="27"/>
      <c r="F34" s="27">
        <v>0</v>
      </c>
      <c r="G34" s="27"/>
      <c r="H34" s="27"/>
      <c r="I34" s="27">
        <f t="shared" si="4"/>
        <v>0</v>
      </c>
    </row>
    <row r="35" spans="1:9" ht="15.75">
      <c r="A35" s="14" t="s">
        <v>103</v>
      </c>
      <c r="B35" s="27"/>
      <c r="C35" s="27"/>
      <c r="D35" s="27"/>
      <c r="E35" s="27">
        <v>6539000</v>
      </c>
      <c r="F35" s="27"/>
      <c r="G35" s="27"/>
      <c r="H35" s="27"/>
      <c r="I35" s="27">
        <f t="shared" si="4"/>
        <v>6539000</v>
      </c>
    </row>
    <row r="36" spans="1:9" ht="15.75">
      <c r="A36" s="79" t="s">
        <v>99</v>
      </c>
      <c r="B36" s="80"/>
      <c r="C36" s="80"/>
      <c r="D36" s="80"/>
      <c r="E36" s="80"/>
      <c r="F36" s="80">
        <v>1999000</v>
      </c>
      <c r="G36" s="80"/>
      <c r="H36" s="80"/>
      <c r="I36" s="80">
        <f t="shared" si="4"/>
        <v>1999000</v>
      </c>
    </row>
    <row r="37" spans="1:9" s="11" customFormat="1" ht="15.75">
      <c r="A37" s="15" t="s">
        <v>15</v>
      </c>
      <c r="B37" s="28">
        <f aca="true" t="shared" si="5" ref="B37:I37">SUM(B31:B36)</f>
        <v>1019000</v>
      </c>
      <c r="C37" s="28">
        <f t="shared" si="5"/>
        <v>15437000</v>
      </c>
      <c r="D37" s="28">
        <f t="shared" si="5"/>
        <v>5202000</v>
      </c>
      <c r="E37" s="28">
        <f t="shared" si="5"/>
        <v>8167000</v>
      </c>
      <c r="F37" s="28">
        <f t="shared" si="5"/>
        <v>5938000</v>
      </c>
      <c r="G37" s="28">
        <f t="shared" si="5"/>
        <v>0</v>
      </c>
      <c r="H37" s="28">
        <f t="shared" si="5"/>
        <v>0</v>
      </c>
      <c r="I37" s="34">
        <f t="shared" si="5"/>
        <v>35763000</v>
      </c>
    </row>
    <row r="38" spans="2:9" s="1" customFormat="1" ht="15.75">
      <c r="B38" s="26"/>
      <c r="C38" s="26"/>
      <c r="D38" s="26"/>
      <c r="E38" s="26"/>
      <c r="F38" s="26"/>
      <c r="G38" s="26"/>
      <c r="H38" s="26"/>
      <c r="I38" s="26"/>
    </row>
    <row r="39" spans="1:9" s="1" customFormat="1" ht="15.75">
      <c r="A39" s="13" t="s">
        <v>41</v>
      </c>
      <c r="B39" s="26"/>
      <c r="C39" s="26"/>
      <c r="D39" s="26"/>
      <c r="E39" s="26"/>
      <c r="F39" s="26"/>
      <c r="G39" s="26"/>
      <c r="H39" s="26"/>
      <c r="I39" s="26"/>
    </row>
    <row r="40" spans="1:9" s="1" customFormat="1" ht="15.75">
      <c r="A40" s="14" t="s">
        <v>47</v>
      </c>
      <c r="B40" s="27">
        <v>0</v>
      </c>
      <c r="C40" s="27"/>
      <c r="D40" s="27"/>
      <c r="E40" s="27"/>
      <c r="F40" s="27"/>
      <c r="G40" s="27"/>
      <c r="H40" s="27"/>
      <c r="I40" s="27">
        <f aca="true" t="shared" si="6" ref="I40:I49">SUM(B40:H40)</f>
        <v>0</v>
      </c>
    </row>
    <row r="41" spans="1:9" ht="15.75">
      <c r="A41" s="14" t="s">
        <v>111</v>
      </c>
      <c r="B41" s="27"/>
      <c r="C41" s="27"/>
      <c r="D41" s="27"/>
      <c r="E41" s="27">
        <v>1906000</v>
      </c>
      <c r="F41" s="27"/>
      <c r="G41" s="27"/>
      <c r="H41" s="27"/>
      <c r="I41" s="27">
        <f t="shared" si="6"/>
        <v>1906000</v>
      </c>
    </row>
    <row r="42" spans="1:9" s="1" customFormat="1" ht="15.75">
      <c r="A42" s="14" t="s">
        <v>100</v>
      </c>
      <c r="B42" s="27"/>
      <c r="C42" s="27">
        <v>17352000</v>
      </c>
      <c r="D42" s="27"/>
      <c r="E42" s="27"/>
      <c r="F42" s="27"/>
      <c r="G42" s="27"/>
      <c r="H42" s="27"/>
      <c r="I42" s="27">
        <f t="shared" si="6"/>
        <v>17352000</v>
      </c>
    </row>
    <row r="43" spans="1:9" s="1" customFormat="1" ht="15.75">
      <c r="A43" s="96" t="s">
        <v>112</v>
      </c>
      <c r="B43" s="27"/>
      <c r="C43" s="27"/>
      <c r="D43" s="27"/>
      <c r="E43" s="27"/>
      <c r="F43" s="27">
        <v>1000000</v>
      </c>
      <c r="G43" s="27"/>
      <c r="H43" s="27"/>
      <c r="I43" s="27">
        <f t="shared" si="6"/>
        <v>1000000</v>
      </c>
    </row>
    <row r="44" spans="1:9" s="1" customFormat="1" ht="15.75">
      <c r="A44" s="14" t="s">
        <v>46</v>
      </c>
      <c r="B44" s="27"/>
      <c r="C44" s="27"/>
      <c r="D44" s="27">
        <v>16509000</v>
      </c>
      <c r="E44" s="27"/>
      <c r="F44" s="27"/>
      <c r="G44" s="27"/>
      <c r="H44" s="27"/>
      <c r="I44" s="27">
        <f t="shared" si="6"/>
        <v>16509000</v>
      </c>
    </row>
    <row r="45" spans="1:9" s="1" customFormat="1" ht="15.75">
      <c r="A45" s="14" t="s">
        <v>113</v>
      </c>
      <c r="B45" s="27"/>
      <c r="C45" s="27">
        <v>3000000</v>
      </c>
      <c r="D45" s="27"/>
      <c r="E45" s="27"/>
      <c r="F45" s="27"/>
      <c r="G45" s="27"/>
      <c r="H45" s="27"/>
      <c r="I45" s="27">
        <f t="shared" si="6"/>
        <v>3000000</v>
      </c>
    </row>
    <row r="46" spans="1:9" s="1" customFormat="1" ht="15.75">
      <c r="A46" s="14" t="s">
        <v>114</v>
      </c>
      <c r="B46" s="27"/>
      <c r="C46" s="27">
        <v>3000000</v>
      </c>
      <c r="D46" s="27"/>
      <c r="E46" s="27"/>
      <c r="F46" s="27"/>
      <c r="G46" s="27"/>
      <c r="H46" s="27"/>
      <c r="I46" s="27">
        <f t="shared" si="6"/>
        <v>3000000</v>
      </c>
    </row>
    <row r="47" spans="1:9" s="1" customFormat="1" ht="15.75">
      <c r="A47" s="14" t="s">
        <v>115</v>
      </c>
      <c r="B47" s="27">
        <v>1000000</v>
      </c>
      <c r="C47" s="27"/>
      <c r="D47" s="27"/>
      <c r="E47" s="27"/>
      <c r="F47" s="27"/>
      <c r="G47" s="27"/>
      <c r="H47" s="27"/>
      <c r="I47" s="27">
        <f t="shared" si="6"/>
        <v>1000000</v>
      </c>
    </row>
    <row r="48" spans="1:9" s="1" customFormat="1" ht="15.75">
      <c r="A48" s="14" t="s">
        <v>53</v>
      </c>
      <c r="B48" s="27">
        <v>1172000</v>
      </c>
      <c r="C48" s="27"/>
      <c r="D48" s="27"/>
      <c r="E48" s="27"/>
      <c r="F48" s="27"/>
      <c r="G48" s="27"/>
      <c r="H48" s="27"/>
      <c r="I48" s="27">
        <f t="shared" si="6"/>
        <v>1172000</v>
      </c>
    </row>
    <row r="49" spans="1:9" s="1" customFormat="1" ht="15.75">
      <c r="A49" s="91" t="s">
        <v>116</v>
      </c>
      <c r="B49" s="31"/>
      <c r="C49" s="31"/>
      <c r="D49" s="31"/>
      <c r="E49" s="31"/>
      <c r="F49" s="31">
        <v>15780000</v>
      </c>
      <c r="G49" s="31"/>
      <c r="H49" s="31"/>
      <c r="I49" s="27">
        <f t="shared" si="6"/>
        <v>15780000</v>
      </c>
    </row>
    <row r="50" spans="1:9" s="12" customFormat="1" ht="15.75">
      <c r="A50" s="15" t="s">
        <v>15</v>
      </c>
      <c r="B50" s="28">
        <f aca="true" t="shared" si="7" ref="B50:I50">SUM(B40:B49)</f>
        <v>2172000</v>
      </c>
      <c r="C50" s="28">
        <f t="shared" si="7"/>
        <v>23352000</v>
      </c>
      <c r="D50" s="28">
        <f t="shared" si="7"/>
        <v>16509000</v>
      </c>
      <c r="E50" s="28">
        <f t="shared" si="7"/>
        <v>1906000</v>
      </c>
      <c r="F50" s="28">
        <f t="shared" si="7"/>
        <v>16780000</v>
      </c>
      <c r="G50" s="28">
        <f t="shared" si="7"/>
        <v>0</v>
      </c>
      <c r="H50" s="28">
        <f t="shared" si="7"/>
        <v>0</v>
      </c>
      <c r="I50" s="34">
        <f t="shared" si="7"/>
        <v>60719000</v>
      </c>
    </row>
    <row r="51" spans="1:9" ht="15.75">
      <c r="A51" s="16"/>
      <c r="B51" s="26"/>
      <c r="C51" s="26"/>
      <c r="D51" s="26"/>
      <c r="E51" s="26"/>
      <c r="F51" s="26"/>
      <c r="G51" s="26"/>
      <c r="I51" s="26"/>
    </row>
    <row r="52" spans="1:9" ht="15.75">
      <c r="A52" s="13" t="s">
        <v>54</v>
      </c>
      <c r="B52" s="26"/>
      <c r="C52" s="26"/>
      <c r="D52" s="26"/>
      <c r="E52" s="26"/>
      <c r="F52" s="26"/>
      <c r="G52" s="26"/>
      <c r="I52" s="26"/>
    </row>
    <row r="53" spans="1:9" s="1" customFormat="1" ht="15.75">
      <c r="A53" s="14" t="s">
        <v>55</v>
      </c>
      <c r="B53" s="27"/>
      <c r="C53" s="27"/>
      <c r="D53" s="98">
        <v>12810000</v>
      </c>
      <c r="E53" s="27">
        <v>5000000</v>
      </c>
      <c r="F53" s="27">
        <v>800000</v>
      </c>
      <c r="G53" s="27"/>
      <c r="H53" s="27"/>
      <c r="I53" s="27">
        <f aca="true" t="shared" si="8" ref="I53:I58">SUM(B53:H53)</f>
        <v>18610000</v>
      </c>
    </row>
    <row r="54" spans="1:9" s="1" customFormat="1" ht="15.75">
      <c r="A54" s="14" t="s">
        <v>56</v>
      </c>
      <c r="B54" s="27"/>
      <c r="C54" s="27"/>
      <c r="D54" s="27">
        <v>9269000</v>
      </c>
      <c r="E54" s="27"/>
      <c r="F54" s="27"/>
      <c r="G54" s="27"/>
      <c r="H54" s="27"/>
      <c r="I54" s="27">
        <f t="shared" si="8"/>
        <v>9269000</v>
      </c>
    </row>
    <row r="55" spans="1:9" s="1" customFormat="1" ht="15.75">
      <c r="A55" s="14" t="s">
        <v>117</v>
      </c>
      <c r="B55" s="27"/>
      <c r="C55" s="27">
        <v>16000000</v>
      </c>
      <c r="D55" s="27"/>
      <c r="E55" s="27"/>
      <c r="F55" s="27"/>
      <c r="G55" s="27"/>
      <c r="H55" s="27"/>
      <c r="I55" s="27">
        <f t="shared" si="8"/>
        <v>16000000</v>
      </c>
    </row>
    <row r="56" spans="1:9" s="1" customFormat="1" ht="15.75">
      <c r="A56" s="14" t="s">
        <v>118</v>
      </c>
      <c r="B56" s="27"/>
      <c r="C56" s="27">
        <v>9771000</v>
      </c>
      <c r="D56" s="27"/>
      <c r="E56" s="27"/>
      <c r="F56" s="27"/>
      <c r="G56" s="27"/>
      <c r="H56" s="27"/>
      <c r="I56" s="27">
        <f t="shared" si="8"/>
        <v>9771000</v>
      </c>
    </row>
    <row r="57" spans="1:9" s="1" customFormat="1" ht="15.75">
      <c r="A57" s="14" t="s">
        <v>63</v>
      </c>
      <c r="B57" s="27">
        <v>4807000</v>
      </c>
      <c r="C57" s="27"/>
      <c r="D57" s="27"/>
      <c r="E57" s="27"/>
      <c r="F57" s="27"/>
      <c r="G57" s="27"/>
      <c r="H57" s="27"/>
      <c r="I57" s="27">
        <f t="shared" si="8"/>
        <v>4807000</v>
      </c>
    </row>
    <row r="58" spans="1:9" ht="15.75">
      <c r="A58" s="96" t="s">
        <v>101</v>
      </c>
      <c r="B58" s="27"/>
      <c r="C58" s="95">
        <v>4500000</v>
      </c>
      <c r="D58" s="27"/>
      <c r="E58" s="27"/>
      <c r="F58" s="27"/>
      <c r="G58" s="27"/>
      <c r="H58" s="27"/>
      <c r="I58" s="27">
        <f t="shared" si="8"/>
        <v>4500000</v>
      </c>
    </row>
    <row r="59" spans="1:9" s="12" customFormat="1" ht="15.75">
      <c r="A59" s="15" t="s">
        <v>15</v>
      </c>
      <c r="B59" s="28">
        <f aca="true" t="shared" si="9" ref="B59:I59">SUM(B53:B58)</f>
        <v>4807000</v>
      </c>
      <c r="C59" s="28">
        <f t="shared" si="9"/>
        <v>30271000</v>
      </c>
      <c r="D59" s="28">
        <f t="shared" si="9"/>
        <v>22079000</v>
      </c>
      <c r="E59" s="28">
        <f t="shared" si="9"/>
        <v>5000000</v>
      </c>
      <c r="F59" s="28">
        <f t="shared" si="9"/>
        <v>800000</v>
      </c>
      <c r="G59" s="28">
        <f t="shared" si="9"/>
        <v>0</v>
      </c>
      <c r="H59" s="28">
        <f t="shared" si="9"/>
        <v>0</v>
      </c>
      <c r="I59" s="34">
        <f t="shared" si="9"/>
        <v>62957000</v>
      </c>
    </row>
    <row r="60" spans="1:9" ht="15.75">
      <c r="A60" s="16"/>
      <c r="B60" s="26"/>
      <c r="C60" s="26"/>
      <c r="E60" s="26"/>
      <c r="F60" s="26"/>
      <c r="G60" s="26"/>
      <c r="I60" s="26"/>
    </row>
    <row r="61" spans="1:9" ht="19.5">
      <c r="A61" s="18" t="s">
        <v>68</v>
      </c>
      <c r="B61" s="30"/>
      <c r="C61" s="30"/>
      <c r="D61" s="7"/>
      <c r="E61" s="30"/>
      <c r="F61" s="30"/>
      <c r="G61" s="30"/>
      <c r="H61" s="30"/>
      <c r="I61" s="39"/>
    </row>
    <row r="62" spans="1:9" ht="15.75">
      <c r="A62" s="19"/>
      <c r="B62" s="31"/>
      <c r="C62" s="31"/>
      <c r="D62" s="8"/>
      <c r="E62" s="31"/>
      <c r="F62" s="31"/>
      <c r="G62" s="31"/>
      <c r="H62" s="31"/>
      <c r="I62" s="40"/>
    </row>
    <row r="63" spans="1:9" ht="15.75">
      <c r="A63" s="20" t="s">
        <v>69</v>
      </c>
      <c r="B63" s="27">
        <f aca="true" t="shared" si="10" ref="B63:H63">B5</f>
        <v>0</v>
      </c>
      <c r="C63" s="27">
        <f t="shared" si="10"/>
        <v>25346000</v>
      </c>
      <c r="D63" s="27">
        <f t="shared" si="10"/>
        <v>0</v>
      </c>
      <c r="E63" s="27">
        <f t="shared" si="10"/>
        <v>0</v>
      </c>
      <c r="F63" s="27">
        <f t="shared" si="10"/>
        <v>0</v>
      </c>
      <c r="G63" s="27">
        <f t="shared" si="10"/>
        <v>0</v>
      </c>
      <c r="H63" s="27">
        <f t="shared" si="10"/>
        <v>0</v>
      </c>
      <c r="I63" s="41">
        <f aca="true" t="shared" si="11" ref="I63:I69">SUM(B63:H63)</f>
        <v>25346000</v>
      </c>
    </row>
    <row r="64" spans="1:9" ht="15.75">
      <c r="A64" s="20" t="s">
        <v>70</v>
      </c>
      <c r="B64" s="27">
        <f aca="true" t="shared" si="12" ref="B64:H64">B13</f>
        <v>1229000</v>
      </c>
      <c r="C64" s="27">
        <f t="shared" si="12"/>
        <v>15481000</v>
      </c>
      <c r="D64" s="27">
        <f t="shared" si="12"/>
        <v>0</v>
      </c>
      <c r="E64" s="27">
        <f t="shared" si="12"/>
        <v>0</v>
      </c>
      <c r="F64" s="27">
        <f t="shared" si="12"/>
        <v>1200000</v>
      </c>
      <c r="G64" s="27">
        <f t="shared" si="12"/>
        <v>0</v>
      </c>
      <c r="H64" s="27">
        <f t="shared" si="12"/>
        <v>0</v>
      </c>
      <c r="I64" s="41">
        <f t="shared" si="11"/>
        <v>17910000</v>
      </c>
    </row>
    <row r="65" spans="1:9" ht="15.75">
      <c r="A65" s="20" t="s">
        <v>71</v>
      </c>
      <c r="B65" s="27">
        <f aca="true" t="shared" si="13" ref="B65:H65">B21</f>
        <v>1682000</v>
      </c>
      <c r="C65" s="27">
        <f t="shared" si="13"/>
        <v>0</v>
      </c>
      <c r="D65" s="27">
        <f t="shared" si="13"/>
        <v>41534000</v>
      </c>
      <c r="E65" s="27">
        <f t="shared" si="13"/>
        <v>5000000</v>
      </c>
      <c r="F65" s="27">
        <f t="shared" si="13"/>
        <v>2685000</v>
      </c>
      <c r="G65" s="27">
        <f t="shared" si="13"/>
        <v>0</v>
      </c>
      <c r="H65" s="27">
        <f t="shared" si="13"/>
        <v>0</v>
      </c>
      <c r="I65" s="41">
        <f t="shared" si="11"/>
        <v>50901000</v>
      </c>
    </row>
    <row r="66" spans="1:9" ht="15.75">
      <c r="A66" s="20" t="s">
        <v>72</v>
      </c>
      <c r="B66" s="27">
        <f>B25</f>
        <v>0</v>
      </c>
      <c r="C66" s="27">
        <f aca="true" t="shared" si="14" ref="C66:H66">C25</f>
        <v>0</v>
      </c>
      <c r="D66" s="27">
        <f t="shared" si="14"/>
        <v>0</v>
      </c>
      <c r="E66" s="27">
        <f t="shared" si="14"/>
        <v>0</v>
      </c>
      <c r="F66" s="27">
        <f t="shared" si="14"/>
        <v>0</v>
      </c>
      <c r="G66" s="27">
        <f t="shared" si="14"/>
        <v>0</v>
      </c>
      <c r="H66" s="27">
        <f t="shared" si="14"/>
        <v>0</v>
      </c>
      <c r="I66" s="41">
        <f t="shared" si="11"/>
        <v>0</v>
      </c>
    </row>
    <row r="67" spans="1:9" ht="15.75">
      <c r="A67" s="20" t="s">
        <v>73</v>
      </c>
      <c r="B67" s="27">
        <f aca="true" t="shared" si="15" ref="B67:H67">B37</f>
        <v>1019000</v>
      </c>
      <c r="C67" s="27">
        <f t="shared" si="15"/>
        <v>15437000</v>
      </c>
      <c r="D67" s="27">
        <f t="shared" si="15"/>
        <v>5202000</v>
      </c>
      <c r="E67" s="27">
        <f t="shared" si="15"/>
        <v>8167000</v>
      </c>
      <c r="F67" s="27">
        <f t="shared" si="15"/>
        <v>5938000</v>
      </c>
      <c r="G67" s="27">
        <f t="shared" si="15"/>
        <v>0</v>
      </c>
      <c r="H67" s="27">
        <f t="shared" si="15"/>
        <v>0</v>
      </c>
      <c r="I67" s="41">
        <f t="shared" si="11"/>
        <v>35763000</v>
      </c>
    </row>
    <row r="68" spans="1:9" ht="15.75">
      <c r="A68" s="20" t="s">
        <v>74</v>
      </c>
      <c r="B68" s="27">
        <f aca="true" t="shared" si="16" ref="B68:H68">B50</f>
        <v>2172000</v>
      </c>
      <c r="C68" s="27">
        <f t="shared" si="16"/>
        <v>23352000</v>
      </c>
      <c r="D68" s="27">
        <f t="shared" si="16"/>
        <v>16509000</v>
      </c>
      <c r="E68" s="27">
        <f t="shared" si="16"/>
        <v>1906000</v>
      </c>
      <c r="F68" s="27">
        <f t="shared" si="16"/>
        <v>16780000</v>
      </c>
      <c r="G68" s="27">
        <f t="shared" si="16"/>
        <v>0</v>
      </c>
      <c r="H68" s="27">
        <f t="shared" si="16"/>
        <v>0</v>
      </c>
      <c r="I68" s="41">
        <f t="shared" si="11"/>
        <v>60719000</v>
      </c>
    </row>
    <row r="69" spans="1:9" ht="15.75">
      <c r="A69" s="20" t="s">
        <v>75</v>
      </c>
      <c r="B69" s="27">
        <f aca="true" t="shared" si="17" ref="B69:H69">B59</f>
        <v>4807000</v>
      </c>
      <c r="C69" s="27">
        <f t="shared" si="17"/>
        <v>30271000</v>
      </c>
      <c r="D69" s="27">
        <f t="shared" si="17"/>
        <v>22079000</v>
      </c>
      <c r="E69" s="27">
        <f t="shared" si="17"/>
        <v>5000000</v>
      </c>
      <c r="F69" s="27">
        <f t="shared" si="17"/>
        <v>800000</v>
      </c>
      <c r="G69" s="27">
        <f t="shared" si="17"/>
        <v>0</v>
      </c>
      <c r="H69" s="27">
        <f t="shared" si="17"/>
        <v>0</v>
      </c>
      <c r="I69" s="41">
        <f t="shared" si="11"/>
        <v>62957000</v>
      </c>
    </row>
    <row r="70" spans="1:9" ht="15.75">
      <c r="A70" s="21"/>
      <c r="B70" s="30"/>
      <c r="C70" s="30"/>
      <c r="D70" s="30"/>
      <c r="E70" s="30"/>
      <c r="F70" s="30"/>
      <c r="G70" s="30"/>
      <c r="H70" s="30"/>
      <c r="I70" s="39"/>
    </row>
    <row r="71" spans="1:9" s="12" customFormat="1" ht="15.75">
      <c r="A71" s="22" t="s">
        <v>15</v>
      </c>
      <c r="B71" s="32">
        <f aca="true" t="shared" si="18" ref="B71:I71">SUM(B63:B69)</f>
        <v>10909000</v>
      </c>
      <c r="C71" s="32">
        <f t="shared" si="18"/>
        <v>109887000</v>
      </c>
      <c r="D71" s="32">
        <f t="shared" si="18"/>
        <v>85324000</v>
      </c>
      <c r="E71" s="32">
        <f t="shared" si="18"/>
        <v>20073000</v>
      </c>
      <c r="F71" s="32">
        <f t="shared" si="18"/>
        <v>27403000</v>
      </c>
      <c r="G71" s="32">
        <f t="shared" si="18"/>
        <v>0</v>
      </c>
      <c r="H71" s="32">
        <f t="shared" si="18"/>
        <v>0</v>
      </c>
      <c r="I71" s="42">
        <f t="shared" si="18"/>
        <v>253596000</v>
      </c>
    </row>
    <row r="72" spans="1:9" ht="15.75">
      <c r="A72" s="23"/>
      <c r="B72" s="9"/>
      <c r="C72" s="33"/>
      <c r="D72" s="9"/>
      <c r="E72" s="9"/>
      <c r="F72" s="9"/>
      <c r="G72" s="9"/>
      <c r="H72" s="33"/>
      <c r="I72" s="10"/>
    </row>
    <row r="74" spans="1:2" ht="15.75">
      <c r="A74"/>
      <c r="B74"/>
    </row>
    <row r="75" spans="1:2" ht="15.75">
      <c r="A75"/>
      <c r="B75"/>
    </row>
    <row r="76" spans="1:2" ht="15.75">
      <c r="A76"/>
      <c r="B76"/>
    </row>
    <row r="77" spans="1:2" ht="15.75">
      <c r="A77"/>
      <c r="B77"/>
    </row>
    <row r="78" spans="1:2" ht="15.75">
      <c r="A78"/>
      <c r="B78"/>
    </row>
    <row r="79" spans="1:2" ht="15.75">
      <c r="A79"/>
      <c r="B79"/>
    </row>
    <row r="80" spans="1:2" ht="15.75">
      <c r="A80"/>
      <c r="B80"/>
    </row>
    <row r="81" spans="1:2" ht="15.75">
      <c r="A81"/>
      <c r="B81"/>
    </row>
    <row r="82" spans="1:2" ht="15.75">
      <c r="A82"/>
      <c r="B82"/>
    </row>
    <row r="83" spans="1:2" ht="15.75">
      <c r="A83"/>
      <c r="B83"/>
    </row>
    <row r="84" spans="1:2" ht="15.75">
      <c r="A84"/>
      <c r="B84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&amp;CTillaga III. að úthlutun stofnframlaga 2004 
skv. 10. gr. rgl. 113/2003&amp;RJÖFNUNARSJÓÐUR SVEITARFÉLAGA</oddHeader>
    <oddFooter>&amp;CPage &amp;P&amp;R03/04/ep.</oddFooter>
  </headerFooter>
  <rowBreaks count="2" manualBreakCount="2">
    <brk id="37" max="255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workbookViewId="0" topLeftCell="B1">
      <selection activeCell="K7" sqref="K7"/>
    </sheetView>
  </sheetViews>
  <sheetFormatPr defaultColWidth="9.140625" defaultRowHeight="12.75"/>
  <cols>
    <col min="3" max="3" width="9.57421875" style="0" customWidth="1"/>
    <col min="4" max="4" width="10.28125" style="0" customWidth="1"/>
    <col min="9" max="9" width="10.00390625" style="0" customWidth="1"/>
  </cols>
  <sheetData>
    <row r="1" spans="1:9" ht="51">
      <c r="A1" s="43" t="s">
        <v>0</v>
      </c>
      <c r="B1" s="24" t="s">
        <v>1</v>
      </c>
      <c r="C1" s="24" t="s">
        <v>76</v>
      </c>
      <c r="D1" s="24" t="s">
        <v>77</v>
      </c>
      <c r="E1" s="24" t="s">
        <v>4</v>
      </c>
      <c r="F1" s="24" t="s">
        <v>5</v>
      </c>
      <c r="G1" s="24" t="s">
        <v>6</v>
      </c>
      <c r="H1" s="24" t="s">
        <v>7</v>
      </c>
      <c r="I1" s="25" t="s">
        <v>8</v>
      </c>
    </row>
    <row r="2" spans="1:9" ht="12.75">
      <c r="A2" s="44"/>
      <c r="B2" s="45"/>
      <c r="C2" s="45"/>
      <c r="D2" s="45"/>
      <c r="E2" s="45"/>
      <c r="F2" s="45"/>
      <c r="G2" s="45"/>
      <c r="H2" s="46"/>
      <c r="I2" s="45"/>
    </row>
    <row r="3" spans="1:9" ht="13.5">
      <c r="A3" s="47" t="s">
        <v>9</v>
      </c>
      <c r="B3" s="45"/>
      <c r="C3" s="45"/>
      <c r="D3" s="45"/>
      <c r="E3" s="46"/>
      <c r="F3" s="45"/>
      <c r="G3" s="45"/>
      <c r="H3" s="46"/>
      <c r="I3" s="45"/>
    </row>
    <row r="4" spans="1:9" ht="12.75">
      <c r="A4" s="48" t="s">
        <v>10</v>
      </c>
      <c r="B4" s="49"/>
      <c r="C4" s="50">
        <v>2200000</v>
      </c>
      <c r="D4" s="50"/>
      <c r="E4" s="51"/>
      <c r="F4" s="50"/>
      <c r="G4" s="50"/>
      <c r="H4" s="50"/>
      <c r="I4" s="50">
        <f aca="true" t="shared" si="0" ref="I4:I9">SUM(B4:H4)</f>
        <v>2200000</v>
      </c>
    </row>
    <row r="5" spans="1:9" ht="12.75">
      <c r="A5" s="48" t="s">
        <v>11</v>
      </c>
      <c r="B5" s="50"/>
      <c r="C5" s="50">
        <v>0</v>
      </c>
      <c r="D5" s="50">
        <v>340000</v>
      </c>
      <c r="E5" s="50"/>
      <c r="F5" s="50"/>
      <c r="G5" s="50"/>
      <c r="H5" s="50"/>
      <c r="I5" s="50">
        <f t="shared" si="0"/>
        <v>340000</v>
      </c>
    </row>
    <row r="6" spans="1:9" ht="12.75">
      <c r="A6" s="48" t="s">
        <v>78</v>
      </c>
      <c r="B6" s="50"/>
      <c r="C6" s="50">
        <v>14447000</v>
      </c>
      <c r="D6" s="50">
        <v>5000000</v>
      </c>
      <c r="E6" s="50"/>
      <c r="F6" s="50"/>
      <c r="G6" s="50"/>
      <c r="H6" s="50"/>
      <c r="I6" s="50">
        <f t="shared" si="0"/>
        <v>19447000</v>
      </c>
    </row>
    <row r="7" spans="1:9" ht="12.75">
      <c r="A7" s="48" t="s">
        <v>13</v>
      </c>
      <c r="B7" s="50"/>
      <c r="C7" s="50">
        <v>2735000</v>
      </c>
      <c r="D7" s="50"/>
      <c r="E7" s="50"/>
      <c r="F7" s="50"/>
      <c r="G7" s="50"/>
      <c r="H7" s="50"/>
      <c r="I7" s="50">
        <f t="shared" si="0"/>
        <v>2735000</v>
      </c>
    </row>
    <row r="8" spans="1:9" ht="12.75">
      <c r="A8" s="48" t="s">
        <v>14</v>
      </c>
      <c r="B8" s="50"/>
      <c r="C8" s="50"/>
      <c r="D8" s="50">
        <v>8000000</v>
      </c>
      <c r="E8" s="50"/>
      <c r="F8" s="50"/>
      <c r="G8" s="50"/>
      <c r="H8" s="50"/>
      <c r="I8" s="50">
        <f t="shared" si="0"/>
        <v>8000000</v>
      </c>
    </row>
    <row r="9" spans="1:9" ht="12.75">
      <c r="A9" s="48" t="s">
        <v>79</v>
      </c>
      <c r="B9" s="50"/>
      <c r="C9" s="50"/>
      <c r="D9" s="50"/>
      <c r="E9" s="50"/>
      <c r="F9" s="50"/>
      <c r="G9" s="50"/>
      <c r="H9" s="50">
        <v>0</v>
      </c>
      <c r="I9" s="50">
        <f t="shared" si="0"/>
        <v>0</v>
      </c>
    </row>
    <row r="10" spans="1:9" ht="13.5">
      <c r="A10" s="52" t="s">
        <v>15</v>
      </c>
      <c r="B10" s="53">
        <f aca="true" t="shared" si="1" ref="B10:I10">SUM(B4:B9)</f>
        <v>0</v>
      </c>
      <c r="C10" s="53">
        <f t="shared" si="1"/>
        <v>19382000</v>
      </c>
      <c r="D10" s="53">
        <f t="shared" si="1"/>
        <v>13340000</v>
      </c>
      <c r="E10" s="53">
        <f t="shared" si="1"/>
        <v>0</v>
      </c>
      <c r="F10" s="53">
        <f t="shared" si="1"/>
        <v>0</v>
      </c>
      <c r="G10" s="53">
        <f t="shared" si="1"/>
        <v>0</v>
      </c>
      <c r="H10" s="53">
        <f t="shared" si="1"/>
        <v>0</v>
      </c>
      <c r="I10" s="54">
        <f t="shared" si="1"/>
        <v>32722000</v>
      </c>
    </row>
    <row r="11" spans="1:9" ht="12.75">
      <c r="A11" s="55"/>
      <c r="B11" s="46"/>
      <c r="C11" s="46"/>
      <c r="D11" s="46"/>
      <c r="E11" s="46"/>
      <c r="F11" s="46"/>
      <c r="G11" s="46"/>
      <c r="H11" s="46"/>
      <c r="I11" s="56"/>
    </row>
    <row r="12" spans="1:9" ht="13.5">
      <c r="A12" s="47" t="s">
        <v>16</v>
      </c>
      <c r="B12" s="46"/>
      <c r="C12" s="46"/>
      <c r="D12" s="46"/>
      <c r="E12" s="46"/>
      <c r="F12" s="46"/>
      <c r="G12" s="46"/>
      <c r="H12" s="46"/>
      <c r="I12" s="49"/>
    </row>
    <row r="13" spans="1:9" ht="12.75">
      <c r="A13" s="48" t="s">
        <v>17</v>
      </c>
      <c r="B13" s="50"/>
      <c r="C13" s="50"/>
      <c r="D13" s="50"/>
      <c r="E13" s="50"/>
      <c r="F13" s="50">
        <v>2000000</v>
      </c>
      <c r="G13" s="50"/>
      <c r="H13" s="50"/>
      <c r="I13" s="57">
        <f aca="true" t="shared" si="2" ref="I13:I18">SUM(B13:H13)</f>
        <v>2000000</v>
      </c>
    </row>
    <row r="14" spans="1:9" ht="12.75">
      <c r="A14" s="48" t="s">
        <v>80</v>
      </c>
      <c r="B14" s="50"/>
      <c r="C14" s="50"/>
      <c r="D14" s="50"/>
      <c r="E14" s="50"/>
      <c r="F14" s="50"/>
      <c r="G14" s="50"/>
      <c r="H14" s="50"/>
      <c r="I14" s="57">
        <f t="shared" si="2"/>
        <v>0</v>
      </c>
    </row>
    <row r="15" spans="1:9" ht="12.75">
      <c r="A15" s="48" t="s">
        <v>19</v>
      </c>
      <c r="B15" s="50">
        <v>1617000</v>
      </c>
      <c r="C15" s="50">
        <v>0</v>
      </c>
      <c r="D15" s="50">
        <v>5000000</v>
      </c>
      <c r="E15" s="50"/>
      <c r="F15" s="50"/>
      <c r="G15" s="50"/>
      <c r="H15" s="50"/>
      <c r="I15" s="57">
        <f t="shared" si="2"/>
        <v>6617000</v>
      </c>
    </row>
    <row r="16" spans="1:9" ht="12.75">
      <c r="A16" s="48" t="s">
        <v>20</v>
      </c>
      <c r="B16" s="50"/>
      <c r="C16" s="50">
        <v>4300000</v>
      </c>
      <c r="D16" s="50"/>
      <c r="E16" s="50"/>
      <c r="F16" s="50"/>
      <c r="G16" s="50"/>
      <c r="H16" s="50"/>
      <c r="I16" s="57">
        <f t="shared" si="2"/>
        <v>4300000</v>
      </c>
    </row>
    <row r="17" spans="1:9" ht="12.75">
      <c r="A17" s="48" t="s">
        <v>21</v>
      </c>
      <c r="B17" s="50"/>
      <c r="C17" s="50"/>
      <c r="D17" s="50"/>
      <c r="E17" s="50">
        <v>2000000</v>
      </c>
      <c r="F17" s="50"/>
      <c r="G17" s="50"/>
      <c r="H17" s="50"/>
      <c r="I17" s="57">
        <f t="shared" si="2"/>
        <v>2000000</v>
      </c>
    </row>
    <row r="18" spans="1:9" ht="12.75">
      <c r="A18" s="48" t="s">
        <v>81</v>
      </c>
      <c r="B18" s="50"/>
      <c r="C18" s="50"/>
      <c r="D18" s="50"/>
      <c r="E18" s="50"/>
      <c r="F18" s="50"/>
      <c r="G18" s="50"/>
      <c r="H18" s="50">
        <v>450000</v>
      </c>
      <c r="I18" s="57">
        <f t="shared" si="2"/>
        <v>450000</v>
      </c>
    </row>
    <row r="19" spans="1:9" ht="13.5">
      <c r="A19" s="52" t="s">
        <v>15</v>
      </c>
      <c r="B19" s="53">
        <f aca="true" t="shared" si="3" ref="B19:H19">SUM(B13:B18)</f>
        <v>1617000</v>
      </c>
      <c r="C19" s="53">
        <f t="shared" si="3"/>
        <v>4300000</v>
      </c>
      <c r="D19" s="53">
        <f t="shared" si="3"/>
        <v>5000000</v>
      </c>
      <c r="E19" s="53">
        <f t="shared" si="3"/>
        <v>2000000</v>
      </c>
      <c r="F19" s="53">
        <f t="shared" si="3"/>
        <v>2000000</v>
      </c>
      <c r="G19" s="53">
        <f t="shared" si="3"/>
        <v>0</v>
      </c>
      <c r="H19" s="53">
        <f t="shared" si="3"/>
        <v>450000</v>
      </c>
      <c r="I19" s="54">
        <f>SUM(B13:H18)</f>
        <v>15367000</v>
      </c>
    </row>
    <row r="20" spans="1:9" ht="12.75">
      <c r="A20" s="55"/>
      <c r="B20" s="46"/>
      <c r="C20" s="46"/>
      <c r="D20" s="46"/>
      <c r="E20" s="46"/>
      <c r="F20" s="46"/>
      <c r="G20" s="46"/>
      <c r="H20" s="46"/>
      <c r="I20" s="46"/>
    </row>
    <row r="21" spans="1:9" ht="13.5">
      <c r="A21" s="47" t="s">
        <v>22</v>
      </c>
      <c r="B21" s="46"/>
      <c r="C21" s="46"/>
      <c r="D21" s="46"/>
      <c r="E21" s="46"/>
      <c r="F21" s="46"/>
      <c r="G21" s="46"/>
      <c r="H21" s="46"/>
      <c r="I21" s="46"/>
    </row>
    <row r="22" spans="1:9" ht="12.75">
      <c r="A22" s="48" t="s">
        <v>24</v>
      </c>
      <c r="B22" s="50"/>
      <c r="C22" s="50">
        <v>1792000</v>
      </c>
      <c r="D22" s="50"/>
      <c r="E22" s="50"/>
      <c r="F22" s="50"/>
      <c r="G22" s="50"/>
      <c r="H22" s="50"/>
      <c r="I22" s="50">
        <f>SUM(B22:H22)</f>
        <v>1792000</v>
      </c>
    </row>
    <row r="23" spans="1:9" ht="12.75">
      <c r="A23" s="48" t="s">
        <v>82</v>
      </c>
      <c r="B23" s="50"/>
      <c r="C23" s="50"/>
      <c r="D23" s="50"/>
      <c r="E23" s="50"/>
      <c r="F23" s="50">
        <v>5442000</v>
      </c>
      <c r="G23" s="50"/>
      <c r="H23" s="50"/>
      <c r="I23" s="50">
        <f>SUM(B23:H23)</f>
        <v>5442000</v>
      </c>
    </row>
    <row r="24" spans="1:9" ht="12.75">
      <c r="A24" s="48" t="s">
        <v>25</v>
      </c>
      <c r="B24" s="50">
        <v>5000000</v>
      </c>
      <c r="C24" s="50"/>
      <c r="D24" s="50"/>
      <c r="E24" s="50"/>
      <c r="F24" s="50"/>
      <c r="G24" s="50"/>
      <c r="H24" s="50"/>
      <c r="I24" s="50">
        <f>SUM(B24:H24)</f>
        <v>5000000</v>
      </c>
    </row>
    <row r="25" spans="1:9" ht="12.75">
      <c r="A25" s="48" t="s">
        <v>26</v>
      </c>
      <c r="B25" s="50"/>
      <c r="C25" s="50">
        <v>338000</v>
      </c>
      <c r="D25" s="50"/>
      <c r="E25" s="50"/>
      <c r="F25" s="50"/>
      <c r="G25" s="50"/>
      <c r="H25" s="50"/>
      <c r="I25" s="50">
        <f>SUM(B25:H25)</f>
        <v>338000</v>
      </c>
    </row>
    <row r="26" spans="1:9" ht="13.5">
      <c r="A26" s="52" t="s">
        <v>15</v>
      </c>
      <c r="B26" s="53">
        <f aca="true" t="shared" si="4" ref="B26:I26">SUM(B22:B25)</f>
        <v>5000000</v>
      </c>
      <c r="C26" s="53">
        <f t="shared" si="4"/>
        <v>2130000</v>
      </c>
      <c r="D26" s="53">
        <f t="shared" si="4"/>
        <v>0</v>
      </c>
      <c r="E26" s="53">
        <f t="shared" si="4"/>
        <v>0</v>
      </c>
      <c r="F26" s="53">
        <f t="shared" si="4"/>
        <v>5442000</v>
      </c>
      <c r="G26" s="53">
        <f t="shared" si="4"/>
        <v>0</v>
      </c>
      <c r="H26" s="53">
        <f t="shared" si="4"/>
        <v>0</v>
      </c>
      <c r="I26" s="54">
        <f t="shared" si="4"/>
        <v>12572000</v>
      </c>
    </row>
    <row r="27" spans="1:9" ht="13.5">
      <c r="A27" s="58"/>
      <c r="B27" s="59"/>
      <c r="C27" s="59"/>
      <c r="D27" s="59"/>
      <c r="E27" s="59"/>
      <c r="F27" s="59"/>
      <c r="G27" s="59"/>
      <c r="H27" s="59"/>
      <c r="I27" s="59"/>
    </row>
    <row r="28" spans="1:9" ht="13.5">
      <c r="A28" s="47" t="s">
        <v>27</v>
      </c>
      <c r="B28" s="59"/>
      <c r="C28" s="59"/>
      <c r="D28" s="59"/>
      <c r="E28" s="59"/>
      <c r="F28" s="59"/>
      <c r="G28" s="59"/>
      <c r="H28" s="59"/>
      <c r="I28" s="59"/>
    </row>
    <row r="29" spans="1:9" ht="12.75">
      <c r="A29" s="48" t="s">
        <v>83</v>
      </c>
      <c r="B29" s="50"/>
      <c r="C29" s="50"/>
      <c r="D29" s="50"/>
      <c r="E29" s="50"/>
      <c r="F29" s="50"/>
      <c r="G29" s="50"/>
      <c r="H29" s="50"/>
      <c r="I29" s="50">
        <f>SUM(B29:H29)</f>
        <v>0</v>
      </c>
    </row>
    <row r="30" spans="1:9" ht="12.75">
      <c r="A30" s="48" t="s">
        <v>28</v>
      </c>
      <c r="B30" s="50"/>
      <c r="C30" s="50"/>
      <c r="D30" s="50">
        <v>10000000</v>
      </c>
      <c r="E30" s="50"/>
      <c r="F30" s="50"/>
      <c r="G30" s="50"/>
      <c r="H30" s="50"/>
      <c r="I30" s="50">
        <f>SUM(B30:H30)</f>
        <v>10000000</v>
      </c>
    </row>
    <row r="31" spans="1:9" ht="12.75">
      <c r="A31" s="48" t="s">
        <v>84</v>
      </c>
      <c r="B31" s="50">
        <v>1000000</v>
      </c>
      <c r="C31" s="50"/>
      <c r="D31" s="50"/>
      <c r="E31" s="50"/>
      <c r="F31" s="50"/>
      <c r="G31" s="50"/>
      <c r="H31" s="50"/>
      <c r="I31" s="50">
        <f>SUM(B31:H31)</f>
        <v>1000000</v>
      </c>
    </row>
    <row r="32" spans="1:9" ht="12.75">
      <c r="A32" s="48" t="s">
        <v>85</v>
      </c>
      <c r="B32" s="50"/>
      <c r="C32" s="50">
        <v>5000000</v>
      </c>
      <c r="D32" s="50"/>
      <c r="E32" s="50"/>
      <c r="F32" s="50"/>
      <c r="G32" s="50"/>
      <c r="H32" s="50"/>
      <c r="I32" s="50">
        <f>SUM(B32:H32)</f>
        <v>5000000</v>
      </c>
    </row>
    <row r="33" spans="1:9" ht="12.75">
      <c r="A33" s="48" t="s">
        <v>30</v>
      </c>
      <c r="B33" s="50">
        <v>930000</v>
      </c>
      <c r="C33" s="50">
        <v>4500000</v>
      </c>
      <c r="D33" s="50"/>
      <c r="E33" s="50"/>
      <c r="F33" s="50"/>
      <c r="G33" s="50"/>
      <c r="H33" s="50"/>
      <c r="I33" s="50">
        <f>SUM(B33:H33)</f>
        <v>5430000</v>
      </c>
    </row>
    <row r="34" spans="1:9" ht="13.5">
      <c r="A34" s="52" t="s">
        <v>15</v>
      </c>
      <c r="B34" s="53">
        <f aca="true" t="shared" si="5" ref="B34:I34">SUM(B29:B33)</f>
        <v>1930000</v>
      </c>
      <c r="C34" s="53">
        <f t="shared" si="5"/>
        <v>9500000</v>
      </c>
      <c r="D34" s="53">
        <f t="shared" si="5"/>
        <v>10000000</v>
      </c>
      <c r="E34" s="53">
        <f t="shared" si="5"/>
        <v>0</v>
      </c>
      <c r="F34" s="53">
        <f t="shared" si="5"/>
        <v>0</v>
      </c>
      <c r="G34" s="53">
        <f t="shared" si="5"/>
        <v>0</v>
      </c>
      <c r="H34" s="53">
        <f t="shared" si="5"/>
        <v>0</v>
      </c>
      <c r="I34" s="54">
        <f t="shared" si="5"/>
        <v>21430000</v>
      </c>
    </row>
    <row r="35" spans="1:9" ht="12.75">
      <c r="A35" s="55"/>
      <c r="B35" s="46"/>
      <c r="C35" s="46"/>
      <c r="D35" s="46"/>
      <c r="E35" s="46"/>
      <c r="F35" s="46"/>
      <c r="G35" s="46"/>
      <c r="H35" s="46"/>
      <c r="I35" s="46"/>
    </row>
    <row r="36" spans="1:9" ht="13.5">
      <c r="A36" s="47" t="s">
        <v>31</v>
      </c>
      <c r="B36" s="46"/>
      <c r="C36" s="46"/>
      <c r="D36" s="46"/>
      <c r="E36" s="46"/>
      <c r="F36" s="46"/>
      <c r="G36" s="46"/>
      <c r="H36" s="46"/>
      <c r="I36" s="46"/>
    </row>
    <row r="37" spans="1:9" ht="12.75">
      <c r="A37" s="60" t="s">
        <v>33</v>
      </c>
      <c r="B37" s="50"/>
      <c r="C37" s="50">
        <v>2227000</v>
      </c>
      <c r="D37" s="50"/>
      <c r="E37" s="50"/>
      <c r="F37" s="50"/>
      <c r="G37" s="50"/>
      <c r="H37" s="50"/>
      <c r="I37" s="50">
        <f aca="true" t="shared" si="6" ref="I37:I50">SUM(B37:H37)</f>
        <v>2227000</v>
      </c>
    </row>
    <row r="38" spans="1:9" ht="12.75">
      <c r="A38" s="48" t="s">
        <v>86</v>
      </c>
      <c r="B38" s="50"/>
      <c r="C38" s="50">
        <v>606000</v>
      </c>
      <c r="D38" s="50"/>
      <c r="E38" s="50"/>
      <c r="F38" s="50"/>
      <c r="G38" s="50"/>
      <c r="H38" s="50"/>
      <c r="I38" s="50">
        <f t="shared" si="6"/>
        <v>606000</v>
      </c>
    </row>
    <row r="39" spans="1:9" ht="12.75">
      <c r="A39" s="48" t="s">
        <v>87</v>
      </c>
      <c r="B39" s="50"/>
      <c r="C39" s="50"/>
      <c r="D39" s="50">
        <v>3520000</v>
      </c>
      <c r="E39" s="50"/>
      <c r="F39" s="50"/>
      <c r="G39" s="50"/>
      <c r="H39" s="50"/>
      <c r="I39" s="50">
        <f t="shared" si="6"/>
        <v>3520000</v>
      </c>
    </row>
    <row r="40" spans="1:9" ht="12.75">
      <c r="A40" s="48" t="s">
        <v>88</v>
      </c>
      <c r="B40" s="50"/>
      <c r="C40" s="50">
        <v>5063000</v>
      </c>
      <c r="D40" s="50"/>
      <c r="E40" s="50"/>
      <c r="F40" s="50"/>
      <c r="G40" s="50"/>
      <c r="H40" s="50"/>
      <c r="I40" s="50">
        <f t="shared" si="6"/>
        <v>5063000</v>
      </c>
    </row>
    <row r="41" spans="1:9" ht="12.75">
      <c r="A41" s="48" t="s">
        <v>34</v>
      </c>
      <c r="B41" s="50"/>
      <c r="C41" s="50"/>
      <c r="D41" s="50"/>
      <c r="E41" s="50"/>
      <c r="F41" s="50"/>
      <c r="G41" s="50"/>
      <c r="H41" s="50"/>
      <c r="I41" s="50">
        <f t="shared" si="6"/>
        <v>0</v>
      </c>
    </row>
    <row r="42" spans="1:9" ht="12.75">
      <c r="A42" s="48" t="s">
        <v>89</v>
      </c>
      <c r="B42" s="50"/>
      <c r="C42" s="50"/>
      <c r="D42" s="50"/>
      <c r="E42" s="50"/>
      <c r="F42" s="50"/>
      <c r="G42" s="50"/>
      <c r="H42" s="50"/>
      <c r="I42" s="50">
        <f t="shared" si="6"/>
        <v>0</v>
      </c>
    </row>
    <row r="43" spans="1:9" ht="12.75">
      <c r="A43" s="48" t="s">
        <v>35</v>
      </c>
      <c r="B43" s="50"/>
      <c r="C43" s="50"/>
      <c r="D43" s="50">
        <v>202000</v>
      </c>
      <c r="E43" s="50"/>
      <c r="F43" s="50"/>
      <c r="G43" s="50"/>
      <c r="H43" s="50"/>
      <c r="I43" s="50">
        <f t="shared" si="6"/>
        <v>202000</v>
      </c>
    </row>
    <row r="44" spans="1:9" ht="12.75">
      <c r="A44" s="48" t="s">
        <v>36</v>
      </c>
      <c r="B44" s="50"/>
      <c r="C44" s="50"/>
      <c r="D44" s="50">
        <v>5500000</v>
      </c>
      <c r="E44" s="50"/>
      <c r="F44" s="50"/>
      <c r="G44" s="50"/>
      <c r="H44" s="50"/>
      <c r="I44" s="50">
        <f t="shared" si="6"/>
        <v>5500000</v>
      </c>
    </row>
    <row r="45" spans="1:9" ht="12.75">
      <c r="A45" s="48" t="s">
        <v>90</v>
      </c>
      <c r="B45" s="50"/>
      <c r="C45" s="50"/>
      <c r="D45" s="50"/>
      <c r="E45" s="50"/>
      <c r="F45" s="50"/>
      <c r="G45" s="50"/>
      <c r="H45" s="50">
        <v>1000000</v>
      </c>
      <c r="I45" s="50">
        <f t="shared" si="6"/>
        <v>1000000</v>
      </c>
    </row>
    <row r="46" spans="1:9" ht="12.75">
      <c r="A46" s="48" t="s">
        <v>37</v>
      </c>
      <c r="B46" s="50"/>
      <c r="C46" s="50"/>
      <c r="D46" s="50"/>
      <c r="E46" s="50"/>
      <c r="F46" s="50">
        <v>3300000</v>
      </c>
      <c r="G46" s="50"/>
      <c r="H46" s="50"/>
      <c r="I46" s="50">
        <f t="shared" si="6"/>
        <v>3300000</v>
      </c>
    </row>
    <row r="47" spans="1:9" ht="12.75">
      <c r="A47" s="48" t="s">
        <v>38</v>
      </c>
      <c r="B47" s="50"/>
      <c r="C47" s="50"/>
      <c r="D47" s="50">
        <v>3000000</v>
      </c>
      <c r="E47" s="50"/>
      <c r="F47" s="50"/>
      <c r="G47" s="50"/>
      <c r="H47" s="50"/>
      <c r="I47" s="50">
        <f t="shared" si="6"/>
        <v>3000000</v>
      </c>
    </row>
    <row r="48" spans="1:9" ht="12.75">
      <c r="A48" s="48" t="s">
        <v>91</v>
      </c>
      <c r="B48" s="50"/>
      <c r="C48" s="50"/>
      <c r="D48" s="50">
        <v>383000</v>
      </c>
      <c r="E48" s="50"/>
      <c r="F48" s="50"/>
      <c r="G48" s="50"/>
      <c r="H48" s="50"/>
      <c r="I48" s="50">
        <f t="shared" si="6"/>
        <v>383000</v>
      </c>
    </row>
    <row r="49" spans="1:9" ht="12.75">
      <c r="A49" s="48" t="s">
        <v>39</v>
      </c>
      <c r="B49" s="50"/>
      <c r="C49" s="50">
        <v>328000</v>
      </c>
      <c r="D49" s="50"/>
      <c r="E49" s="50"/>
      <c r="F49" s="50"/>
      <c r="G49" s="50"/>
      <c r="H49" s="50"/>
      <c r="I49" s="50">
        <f t="shared" si="6"/>
        <v>328000</v>
      </c>
    </row>
    <row r="50" spans="1:9" ht="12.75">
      <c r="A50" s="48" t="s">
        <v>40</v>
      </c>
      <c r="B50" s="50"/>
      <c r="C50" s="50">
        <v>2723000</v>
      </c>
      <c r="D50" s="50">
        <v>10000000</v>
      </c>
      <c r="E50" s="50"/>
      <c r="F50" s="50"/>
      <c r="G50" s="50"/>
      <c r="H50" s="50"/>
      <c r="I50" s="50">
        <f t="shared" si="6"/>
        <v>12723000</v>
      </c>
    </row>
    <row r="51" spans="1:9" ht="13.5">
      <c r="A51" s="52" t="s">
        <v>15</v>
      </c>
      <c r="B51" s="53">
        <f aca="true" t="shared" si="7" ref="B51:H51">SUM(B37:B50)</f>
        <v>0</v>
      </c>
      <c r="C51" s="53">
        <f t="shared" si="7"/>
        <v>10947000</v>
      </c>
      <c r="D51" s="53">
        <f t="shared" si="7"/>
        <v>22605000</v>
      </c>
      <c r="E51" s="53">
        <f t="shared" si="7"/>
        <v>0</v>
      </c>
      <c r="F51" s="53">
        <f t="shared" si="7"/>
        <v>3300000</v>
      </c>
      <c r="G51" s="53">
        <f t="shared" si="7"/>
        <v>0</v>
      </c>
      <c r="H51" s="53">
        <f t="shared" si="7"/>
        <v>1000000</v>
      </c>
      <c r="I51" s="54">
        <f>SUM(I37:I50)</f>
        <v>37852000</v>
      </c>
    </row>
    <row r="52" spans="1:9" ht="12.75">
      <c r="A52" s="55"/>
      <c r="B52" s="46"/>
      <c r="C52" s="46"/>
      <c r="D52" s="46"/>
      <c r="E52" s="46"/>
      <c r="F52" s="46"/>
      <c r="G52" s="46"/>
      <c r="H52" s="46"/>
      <c r="I52" s="46"/>
    </row>
    <row r="53" spans="1:9" ht="13.5">
      <c r="A53" s="47" t="s">
        <v>41</v>
      </c>
      <c r="B53" s="46"/>
      <c r="C53" s="46"/>
      <c r="D53" s="46"/>
      <c r="E53" s="46"/>
      <c r="F53" s="46"/>
      <c r="G53" s="46"/>
      <c r="H53" s="46"/>
      <c r="I53" s="46"/>
    </row>
    <row r="54" spans="1:9" ht="12.75">
      <c r="A54" s="48" t="s">
        <v>42</v>
      </c>
      <c r="B54" s="50"/>
      <c r="C54" s="50">
        <v>7500000</v>
      </c>
      <c r="D54" s="50"/>
      <c r="E54" s="50"/>
      <c r="F54" s="50"/>
      <c r="G54" s="50"/>
      <c r="H54" s="50"/>
      <c r="I54" s="50">
        <f aca="true" t="shared" si="8" ref="I54:I65">SUM(B54:H54)</f>
        <v>7500000</v>
      </c>
    </row>
    <row r="55" spans="1:9" ht="12.75">
      <c r="A55" s="48" t="s">
        <v>92</v>
      </c>
      <c r="B55" s="50"/>
      <c r="C55" s="50"/>
      <c r="D55" s="50">
        <v>4970000</v>
      </c>
      <c r="E55" s="50"/>
      <c r="F55" s="50">
        <v>2540000</v>
      </c>
      <c r="G55" s="50"/>
      <c r="H55" s="50"/>
      <c r="I55" s="50">
        <f t="shared" si="8"/>
        <v>7510000</v>
      </c>
    </row>
    <row r="56" spans="1:9" ht="12.75">
      <c r="A56" s="48" t="s">
        <v>93</v>
      </c>
      <c r="B56" s="50"/>
      <c r="C56" s="50"/>
      <c r="D56" s="50"/>
      <c r="E56" s="50">
        <v>4541000</v>
      </c>
      <c r="F56" s="50"/>
      <c r="G56" s="50"/>
      <c r="H56" s="50"/>
      <c r="I56" s="50">
        <f t="shared" si="8"/>
        <v>4541000</v>
      </c>
    </row>
    <row r="57" spans="1:9" ht="12.75">
      <c r="A57" s="48" t="s">
        <v>94</v>
      </c>
      <c r="B57" s="50"/>
      <c r="C57" s="50"/>
      <c r="D57" s="50"/>
      <c r="E57" s="50"/>
      <c r="F57" s="50"/>
      <c r="G57" s="50"/>
      <c r="H57" s="50"/>
      <c r="I57" s="50">
        <f t="shared" si="8"/>
        <v>0</v>
      </c>
    </row>
    <row r="58" spans="1:9" ht="12.75">
      <c r="A58" s="48" t="s">
        <v>95</v>
      </c>
      <c r="B58" s="50"/>
      <c r="C58" s="50">
        <v>5649000</v>
      </c>
      <c r="D58" s="50"/>
      <c r="E58" s="50"/>
      <c r="F58" s="50"/>
      <c r="G58" s="50"/>
      <c r="H58" s="50"/>
      <c r="I58" s="50">
        <f t="shared" si="8"/>
        <v>5649000</v>
      </c>
    </row>
    <row r="59" spans="1:9" ht="12.75">
      <c r="A59" s="48" t="s">
        <v>44</v>
      </c>
      <c r="B59" s="50"/>
      <c r="C59" s="50"/>
      <c r="D59" s="50"/>
      <c r="E59" s="50"/>
      <c r="F59" s="50">
        <v>500000</v>
      </c>
      <c r="G59" s="50"/>
      <c r="H59" s="50"/>
      <c r="I59" s="50">
        <f t="shared" si="8"/>
        <v>500000</v>
      </c>
    </row>
    <row r="60" spans="1:9" ht="12.75">
      <c r="A60" s="48" t="s">
        <v>46</v>
      </c>
      <c r="B60" s="50"/>
      <c r="C60" s="50">
        <v>2500000</v>
      </c>
      <c r="D60" s="50"/>
      <c r="E60" s="50"/>
      <c r="F60" s="50">
        <v>3000000</v>
      </c>
      <c r="G60" s="50"/>
      <c r="H60" s="50"/>
      <c r="I60" s="50">
        <f t="shared" si="8"/>
        <v>5500000</v>
      </c>
    </row>
    <row r="61" spans="1:9" ht="12.75">
      <c r="A61" s="48" t="s">
        <v>96</v>
      </c>
      <c r="B61" s="50"/>
      <c r="C61" s="50">
        <v>3673000</v>
      </c>
      <c r="D61" s="50"/>
      <c r="E61" s="50"/>
      <c r="F61" s="50"/>
      <c r="G61" s="50"/>
      <c r="H61" s="50"/>
      <c r="I61" s="50">
        <f t="shared" si="8"/>
        <v>3673000</v>
      </c>
    </row>
    <row r="62" spans="1:9" ht="12.75">
      <c r="A62" s="48" t="s">
        <v>47</v>
      </c>
      <c r="B62" s="50"/>
      <c r="C62" s="50">
        <v>200000</v>
      </c>
      <c r="D62" s="50">
        <v>3726000</v>
      </c>
      <c r="E62" s="50"/>
      <c r="F62" s="50"/>
      <c r="G62" s="50"/>
      <c r="H62" s="50"/>
      <c r="I62" s="50">
        <f t="shared" si="8"/>
        <v>3926000</v>
      </c>
    </row>
    <row r="63" spans="1:9" ht="12.75">
      <c r="A63" s="48" t="s">
        <v>51</v>
      </c>
      <c r="B63" s="50"/>
      <c r="C63" s="50">
        <v>3000000</v>
      </c>
      <c r="D63" s="50"/>
      <c r="E63" s="50"/>
      <c r="F63" s="50"/>
      <c r="G63" s="50"/>
      <c r="H63" s="50"/>
      <c r="I63" s="50">
        <f t="shared" si="8"/>
        <v>3000000</v>
      </c>
    </row>
    <row r="64" spans="1:9" ht="12.75">
      <c r="A64" s="48" t="s">
        <v>52</v>
      </c>
      <c r="B64" s="50"/>
      <c r="C64" s="50"/>
      <c r="D64" s="50">
        <v>3000000</v>
      </c>
      <c r="E64" s="50"/>
      <c r="F64" s="50"/>
      <c r="G64" s="50"/>
      <c r="H64" s="50"/>
      <c r="I64" s="50">
        <f t="shared" si="8"/>
        <v>3000000</v>
      </c>
    </row>
    <row r="65" spans="1:9" ht="12.75">
      <c r="A65" s="48" t="s">
        <v>53</v>
      </c>
      <c r="B65" s="50"/>
      <c r="C65" s="50">
        <v>159000</v>
      </c>
      <c r="D65" s="50">
        <v>2000000</v>
      </c>
      <c r="E65" s="50"/>
      <c r="F65" s="50"/>
      <c r="G65" s="50"/>
      <c r="H65" s="50"/>
      <c r="I65" s="50">
        <f t="shared" si="8"/>
        <v>2159000</v>
      </c>
    </row>
    <row r="66" spans="1:9" ht="13.5">
      <c r="A66" s="52" t="s">
        <v>15</v>
      </c>
      <c r="B66" s="53">
        <f>SUM(B55:B65)</f>
        <v>0</v>
      </c>
      <c r="C66" s="53">
        <f aca="true" t="shared" si="9" ref="C66:I66">SUM(C54:C65)</f>
        <v>22681000</v>
      </c>
      <c r="D66" s="53">
        <f t="shared" si="9"/>
        <v>13696000</v>
      </c>
      <c r="E66" s="53">
        <f t="shared" si="9"/>
        <v>4541000</v>
      </c>
      <c r="F66" s="53">
        <f t="shared" si="9"/>
        <v>6040000</v>
      </c>
      <c r="G66" s="53">
        <f t="shared" si="9"/>
        <v>0</v>
      </c>
      <c r="H66" s="53">
        <f t="shared" si="9"/>
        <v>0</v>
      </c>
      <c r="I66" s="54">
        <f t="shared" si="9"/>
        <v>46958000</v>
      </c>
    </row>
    <row r="67" spans="1:9" ht="12.75">
      <c r="A67" s="55"/>
      <c r="B67" s="46"/>
      <c r="C67" s="46"/>
      <c r="D67" s="46"/>
      <c r="E67" s="46"/>
      <c r="F67" s="46"/>
      <c r="G67" s="46"/>
      <c r="H67" s="46"/>
      <c r="I67" s="46"/>
    </row>
    <row r="68" spans="1:9" ht="13.5">
      <c r="A68" s="47" t="s">
        <v>54</v>
      </c>
      <c r="B68" s="46"/>
      <c r="C68" s="46"/>
      <c r="D68" s="46"/>
      <c r="E68" s="46"/>
      <c r="F68" s="46"/>
      <c r="G68" s="46"/>
      <c r="H68" s="46"/>
      <c r="I68" s="46"/>
    </row>
    <row r="69" spans="1:9" ht="12.75">
      <c r="A69" s="48" t="s">
        <v>56</v>
      </c>
      <c r="B69" s="50"/>
      <c r="C69" s="50"/>
      <c r="D69" s="50">
        <v>1200000</v>
      </c>
      <c r="E69" s="50"/>
      <c r="F69" s="50"/>
      <c r="G69" s="50"/>
      <c r="H69" s="50"/>
      <c r="I69" s="50">
        <f aca="true" t="shared" si="10" ref="I69:I80">SUM(B69:H69)</f>
        <v>1200000</v>
      </c>
    </row>
    <row r="70" spans="1:9" ht="12.75">
      <c r="A70" s="48" t="s">
        <v>55</v>
      </c>
      <c r="B70" s="50"/>
      <c r="C70" s="50"/>
      <c r="D70" s="50"/>
      <c r="E70" s="50">
        <v>500000</v>
      </c>
      <c r="F70" s="50">
        <v>4800000</v>
      </c>
      <c r="G70" s="50"/>
      <c r="H70" s="50"/>
      <c r="I70" s="50">
        <f t="shared" si="10"/>
        <v>5300000</v>
      </c>
    </row>
    <row r="71" spans="1:9" ht="12.75">
      <c r="A71" s="48" t="s">
        <v>57</v>
      </c>
      <c r="B71" s="50"/>
      <c r="C71" s="50"/>
      <c r="D71" s="50">
        <v>8000000</v>
      </c>
      <c r="E71" s="50"/>
      <c r="F71" s="50"/>
      <c r="G71" s="50"/>
      <c r="H71" s="50"/>
      <c r="I71" s="50">
        <f t="shared" si="10"/>
        <v>8000000</v>
      </c>
    </row>
    <row r="72" spans="1:9" ht="12.75">
      <c r="A72" s="48" t="s">
        <v>58</v>
      </c>
      <c r="B72" s="50"/>
      <c r="C72" s="50"/>
      <c r="D72" s="50">
        <v>7000000</v>
      </c>
      <c r="E72" s="50"/>
      <c r="F72" s="50"/>
      <c r="G72" s="50"/>
      <c r="H72" s="50"/>
      <c r="I72" s="50">
        <f t="shared" si="10"/>
        <v>7000000</v>
      </c>
    </row>
    <row r="73" spans="1:9" ht="12.75">
      <c r="A73" s="48" t="s">
        <v>59</v>
      </c>
      <c r="B73" s="50"/>
      <c r="C73" s="50"/>
      <c r="D73" s="50"/>
      <c r="E73" s="50">
        <v>2921000</v>
      </c>
      <c r="F73" s="50">
        <v>1500000</v>
      </c>
      <c r="G73" s="50"/>
      <c r="H73" s="50"/>
      <c r="I73" s="50">
        <f t="shared" si="10"/>
        <v>4421000</v>
      </c>
    </row>
    <row r="74" spans="1:9" ht="12.75">
      <c r="A74" s="48" t="s">
        <v>62</v>
      </c>
      <c r="B74" s="50"/>
      <c r="C74" s="50"/>
      <c r="D74" s="50"/>
      <c r="E74" s="50">
        <v>5000000</v>
      </c>
      <c r="F74" s="50"/>
      <c r="G74" s="50"/>
      <c r="H74" s="50"/>
      <c r="I74" s="50">
        <f t="shared" si="10"/>
        <v>5000000</v>
      </c>
    </row>
    <row r="75" spans="1:9" ht="12.75">
      <c r="A75" s="48" t="s">
        <v>63</v>
      </c>
      <c r="B75" s="50"/>
      <c r="C75" s="50"/>
      <c r="D75" s="50"/>
      <c r="E75" s="50"/>
      <c r="F75" s="50"/>
      <c r="G75" s="50"/>
      <c r="H75" s="50"/>
      <c r="I75" s="50">
        <f t="shared" si="10"/>
        <v>0</v>
      </c>
    </row>
    <row r="76" spans="1:9" ht="12.75">
      <c r="A76" s="48" t="s">
        <v>64</v>
      </c>
      <c r="B76" s="50"/>
      <c r="C76" s="50"/>
      <c r="D76" s="50">
        <v>6000000</v>
      </c>
      <c r="E76" s="50"/>
      <c r="F76" s="50"/>
      <c r="G76" s="50"/>
      <c r="H76" s="50"/>
      <c r="I76" s="50">
        <f t="shared" si="10"/>
        <v>6000000</v>
      </c>
    </row>
    <row r="77" spans="1:9" ht="12.75">
      <c r="A77" s="48" t="s">
        <v>97</v>
      </c>
      <c r="B77" s="50"/>
      <c r="C77" s="50"/>
      <c r="D77" s="50">
        <v>5284000</v>
      </c>
      <c r="E77" s="50"/>
      <c r="F77" s="50"/>
      <c r="G77" s="50"/>
      <c r="H77" s="50"/>
      <c r="I77" s="50">
        <f t="shared" si="10"/>
        <v>5284000</v>
      </c>
    </row>
    <row r="78" spans="1:9" ht="12.75">
      <c r="A78" s="48" t="s">
        <v>98</v>
      </c>
      <c r="B78" s="50"/>
      <c r="C78" s="50"/>
      <c r="D78" s="50"/>
      <c r="E78" s="50"/>
      <c r="F78" s="50">
        <v>2000000</v>
      </c>
      <c r="G78" s="50"/>
      <c r="H78" s="50"/>
      <c r="I78" s="50">
        <f t="shared" si="10"/>
        <v>2000000</v>
      </c>
    </row>
    <row r="79" spans="1:9" ht="12.75">
      <c r="A79" s="48" t="s">
        <v>65</v>
      </c>
      <c r="B79" s="50"/>
      <c r="C79" s="50">
        <v>1100000</v>
      </c>
      <c r="D79" s="50"/>
      <c r="E79" s="50"/>
      <c r="F79" s="50"/>
      <c r="G79" s="50"/>
      <c r="H79" s="50"/>
      <c r="I79" s="50">
        <f t="shared" si="10"/>
        <v>1100000</v>
      </c>
    </row>
    <row r="80" spans="1:9" ht="12.75">
      <c r="A80" s="48" t="s">
        <v>66</v>
      </c>
      <c r="B80" s="50"/>
      <c r="C80" s="50">
        <v>1259000</v>
      </c>
      <c r="D80" s="50"/>
      <c r="E80" s="50"/>
      <c r="F80" s="50"/>
      <c r="G80" s="50"/>
      <c r="H80" s="50"/>
      <c r="I80" s="50">
        <f t="shared" si="10"/>
        <v>1259000</v>
      </c>
    </row>
    <row r="81" spans="1:9" ht="13.5">
      <c r="A81" s="52" t="s">
        <v>15</v>
      </c>
      <c r="B81" s="53">
        <f aca="true" t="shared" si="11" ref="B81:I81">SUM(B69:B80)</f>
        <v>0</v>
      </c>
      <c r="C81" s="53">
        <f t="shared" si="11"/>
        <v>2359000</v>
      </c>
      <c r="D81" s="53">
        <f t="shared" si="11"/>
        <v>27484000</v>
      </c>
      <c r="E81" s="53">
        <f t="shared" si="11"/>
        <v>8421000</v>
      </c>
      <c r="F81" s="53">
        <f t="shared" si="11"/>
        <v>8300000</v>
      </c>
      <c r="G81" s="53">
        <f t="shared" si="11"/>
        <v>0</v>
      </c>
      <c r="H81" s="53">
        <f t="shared" si="11"/>
        <v>0</v>
      </c>
      <c r="I81" s="54">
        <f t="shared" si="11"/>
        <v>46564000</v>
      </c>
    </row>
    <row r="82" spans="1:9" ht="12.75">
      <c r="A82" s="55"/>
      <c r="B82" s="46"/>
      <c r="C82" s="46"/>
      <c r="D82" s="45"/>
      <c r="E82" s="46"/>
      <c r="F82" s="46"/>
      <c r="G82" s="46"/>
      <c r="H82" s="46"/>
      <c r="I82" s="46"/>
    </row>
    <row r="83" spans="1:9" ht="13.5">
      <c r="A83" s="61" t="s">
        <v>68</v>
      </c>
      <c r="B83" s="62"/>
      <c r="C83" s="62"/>
      <c r="D83" s="63"/>
      <c r="E83" s="62"/>
      <c r="F83" s="62"/>
      <c r="G83" s="62"/>
      <c r="H83" s="62"/>
      <c r="I83" s="64"/>
    </row>
    <row r="84" spans="1:9" ht="13.5">
      <c r="A84" s="65"/>
      <c r="B84" s="66"/>
      <c r="C84" s="66"/>
      <c r="D84" s="67"/>
      <c r="E84" s="66"/>
      <c r="F84" s="66"/>
      <c r="G84" s="66"/>
      <c r="H84" s="66"/>
      <c r="I84" s="68"/>
    </row>
    <row r="85" spans="1:9" ht="12.75">
      <c r="A85" s="69" t="s">
        <v>69</v>
      </c>
      <c r="B85" s="50">
        <f>rek1</f>
        <v>0</v>
      </c>
      <c r="C85" s="50">
        <f>rek2</f>
        <v>31934000</v>
      </c>
      <c r="D85" s="50">
        <f>rek3</f>
        <v>23768000</v>
      </c>
      <c r="E85" s="50">
        <f>rek7</f>
        <v>0</v>
      </c>
      <c r="F85" s="50">
        <f>rek4</f>
        <v>5000000</v>
      </c>
      <c r="G85" s="50">
        <f>rek5</f>
        <v>0</v>
      </c>
      <c r="H85" s="50">
        <f>rek6</f>
        <v>0</v>
      </c>
      <c r="I85" s="70">
        <f>reksam</f>
        <v>60702000</v>
      </c>
    </row>
    <row r="86" spans="1:9" ht="12.75">
      <c r="A86" s="69" t="s">
        <v>70</v>
      </c>
      <c r="B86" s="50">
        <f>ves1</f>
        <v>1587000</v>
      </c>
      <c r="C86" s="50">
        <f>ves2</f>
        <v>0</v>
      </c>
      <c r="D86" s="50">
        <f>ves3</f>
        <v>22308000</v>
      </c>
      <c r="E86" s="50">
        <f>ves7</f>
        <v>7441000</v>
      </c>
      <c r="F86" s="50">
        <f>ves4</f>
        <v>8082000</v>
      </c>
      <c r="G86" s="50">
        <f>ves5</f>
        <v>0</v>
      </c>
      <c r="H86" s="50">
        <f>ves6</f>
        <v>0</v>
      </c>
      <c r="I86" s="70">
        <f>vessam</f>
        <v>39418000</v>
      </c>
    </row>
    <row r="87" spans="1:9" ht="12.75">
      <c r="A87" s="69" t="s">
        <v>71</v>
      </c>
      <c r="B87" s="50">
        <f>vf1</f>
        <v>3446000</v>
      </c>
      <c r="C87" s="50">
        <f>vf2</f>
        <v>0</v>
      </c>
      <c r="D87" s="50">
        <f>vf3</f>
        <v>1700000</v>
      </c>
      <c r="E87" s="50">
        <f>vf7</f>
        <v>250000</v>
      </c>
      <c r="F87" s="50">
        <f>vf4</f>
        <v>0</v>
      </c>
      <c r="G87" s="50">
        <f>vf5</f>
        <v>0</v>
      </c>
      <c r="H87" s="50">
        <f>vf6</f>
        <v>0</v>
      </c>
      <c r="I87" s="70">
        <f>vfsam</f>
        <v>5396000</v>
      </c>
    </row>
    <row r="88" spans="1:9" ht="12.75">
      <c r="A88" s="69" t="s">
        <v>72</v>
      </c>
      <c r="B88" s="50">
        <f>nv1</f>
        <v>3388000</v>
      </c>
      <c r="C88" s="50">
        <f>nv2</f>
        <v>3074000</v>
      </c>
      <c r="D88" s="50">
        <f>nv3</f>
        <v>15783000</v>
      </c>
      <c r="E88" s="50">
        <f>nv7</f>
        <v>0</v>
      </c>
      <c r="F88" s="50">
        <f>nv4</f>
        <v>0</v>
      </c>
      <c r="G88" s="50">
        <f>nv5</f>
        <v>0</v>
      </c>
      <c r="H88" s="50">
        <f>nv6</f>
        <v>0</v>
      </c>
      <c r="I88" s="70">
        <f>nvsam</f>
        <v>22245000</v>
      </c>
    </row>
    <row r="89" spans="1:9" ht="12.75">
      <c r="A89" s="69" t="s">
        <v>73</v>
      </c>
      <c r="B89" s="50">
        <f>ne1</f>
        <v>0</v>
      </c>
      <c r="C89" s="50">
        <f>ne2</f>
        <v>14186000</v>
      </c>
      <c r="D89" s="50">
        <f>ne3</f>
        <v>28336000</v>
      </c>
      <c r="E89" s="50">
        <f>ne7</f>
        <v>0</v>
      </c>
      <c r="F89" s="50">
        <f>ne4</f>
        <v>10770000</v>
      </c>
      <c r="G89" s="50">
        <f>ne5</f>
        <v>0</v>
      </c>
      <c r="H89" s="50">
        <f>ne6</f>
        <v>0</v>
      </c>
      <c r="I89" s="70">
        <f>nesam</f>
        <v>53292000</v>
      </c>
    </row>
    <row r="90" spans="1:9" ht="12.75">
      <c r="A90" s="69" t="s">
        <v>74</v>
      </c>
      <c r="B90" s="50">
        <f>aust1</f>
        <v>184000</v>
      </c>
      <c r="C90" s="50">
        <f>aust2</f>
        <v>37550000</v>
      </c>
      <c r="D90" s="50">
        <f>aust3</f>
        <v>24656000</v>
      </c>
      <c r="E90" s="50">
        <f>aust7</f>
        <v>0</v>
      </c>
      <c r="F90" s="50">
        <f>aust4</f>
        <v>5639000</v>
      </c>
      <c r="G90" s="50">
        <f>aust5</f>
        <v>0</v>
      </c>
      <c r="H90" s="50">
        <f>aust6</f>
        <v>0</v>
      </c>
      <c r="I90" s="70">
        <f>austsam</f>
        <v>68029000</v>
      </c>
    </row>
    <row r="91" spans="1:9" ht="12.75">
      <c r="A91" s="69" t="s">
        <v>75</v>
      </c>
      <c r="B91" s="50">
        <f>su1</f>
        <v>15319000</v>
      </c>
      <c r="C91" s="50">
        <f>su2</f>
        <v>18924000</v>
      </c>
      <c r="D91" s="50">
        <f>su3</f>
        <v>41629000</v>
      </c>
      <c r="E91" s="50">
        <f>su7</f>
        <v>5779000</v>
      </c>
      <c r="F91" s="50">
        <f>su4</f>
        <v>7915000</v>
      </c>
      <c r="G91" s="50">
        <f>su5</f>
        <v>0</v>
      </c>
      <c r="H91" s="50">
        <f>su6</f>
        <v>0</v>
      </c>
      <c r="I91" s="70">
        <f>susam</f>
        <v>89566000</v>
      </c>
    </row>
    <row r="92" spans="1:9" ht="12.75">
      <c r="A92" s="71"/>
      <c r="B92" s="62"/>
      <c r="C92" s="62"/>
      <c r="D92" s="62"/>
      <c r="E92" s="62"/>
      <c r="F92" s="62"/>
      <c r="G92" s="62"/>
      <c r="H92" s="62"/>
      <c r="I92" s="64"/>
    </row>
    <row r="93" spans="1:9" ht="13.5">
      <c r="A93" s="72" t="s">
        <v>15</v>
      </c>
      <c r="B93" s="56">
        <f aca="true" t="shared" si="12" ref="B93:I93">SUM(B85:B91)</f>
        <v>23924000</v>
      </c>
      <c r="C93" s="56">
        <f t="shared" si="12"/>
        <v>105668000</v>
      </c>
      <c r="D93" s="56">
        <f t="shared" si="12"/>
        <v>158180000</v>
      </c>
      <c r="E93" s="56">
        <f t="shared" si="12"/>
        <v>13470000</v>
      </c>
      <c r="F93" s="56">
        <f t="shared" si="12"/>
        <v>37406000</v>
      </c>
      <c r="G93" s="56">
        <f t="shared" si="12"/>
        <v>0</v>
      </c>
      <c r="H93" s="56">
        <f t="shared" si="12"/>
        <v>0</v>
      </c>
      <c r="I93" s="73">
        <f t="shared" si="12"/>
        <v>338648000</v>
      </c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6"/>
  <sheetViews>
    <sheetView zoomScale="67" zoomScaleNormal="67" workbookViewId="0" topLeftCell="A1">
      <pane ySplit="840" topLeftCell="BM9" activePane="bottomLeft" state="split"/>
      <selection pane="topLeft" activeCell="C1" sqref="C1"/>
      <selection pane="bottomLeft" activeCell="B9" sqref="B9"/>
    </sheetView>
  </sheetViews>
  <sheetFormatPr defaultColWidth="9.140625" defaultRowHeight="12.75"/>
  <cols>
    <col min="1" max="1" width="24.57421875" style="5" customWidth="1"/>
    <col min="2" max="2" width="12.7109375" style="6" customWidth="1"/>
    <col min="3" max="4" width="14.140625" style="6" customWidth="1"/>
    <col min="5" max="7" width="12.7109375" style="6" customWidth="1"/>
    <col min="8" max="8" width="12.7109375" style="26" customWidth="1"/>
    <col min="9" max="9" width="14.57421875" style="6" customWidth="1"/>
  </cols>
  <sheetData>
    <row r="1" spans="1:9" s="4" customFormat="1" ht="49.5" customHeight="1">
      <c r="A1" s="35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5" t="s">
        <v>8</v>
      </c>
    </row>
    <row r="3" spans="1:5" ht="15.75">
      <c r="A3" s="13" t="s">
        <v>9</v>
      </c>
      <c r="E3" s="26"/>
    </row>
    <row r="4" spans="1:9" ht="15.75">
      <c r="A4" s="14" t="s">
        <v>10</v>
      </c>
      <c r="B4" s="74"/>
      <c r="C4" s="27">
        <v>10334000</v>
      </c>
      <c r="D4" s="27"/>
      <c r="E4" s="37"/>
      <c r="F4" s="27"/>
      <c r="G4" s="27"/>
      <c r="H4" s="27"/>
      <c r="I4" s="27">
        <f>SUM(B4:H4)</f>
        <v>10334000</v>
      </c>
    </row>
    <row r="5" spans="1:9" ht="15.75">
      <c r="A5" s="14" t="s">
        <v>11</v>
      </c>
      <c r="B5" s="27"/>
      <c r="C5" s="27">
        <v>1600000</v>
      </c>
      <c r="D5" s="27"/>
      <c r="E5" s="27"/>
      <c r="F5" s="27"/>
      <c r="G5" s="27"/>
      <c r="H5" s="27"/>
      <c r="I5" s="27">
        <f>SUM(B5:H5)</f>
        <v>1600000</v>
      </c>
    </row>
    <row r="6" spans="1:9" ht="15.75">
      <c r="A6" s="14" t="s">
        <v>12</v>
      </c>
      <c r="B6" s="27"/>
      <c r="C6" s="27">
        <v>0</v>
      </c>
      <c r="D6" s="27">
        <v>4025000</v>
      </c>
      <c r="E6" s="27"/>
      <c r="F6" s="27">
        <v>5000000</v>
      </c>
      <c r="G6" s="27"/>
      <c r="H6" s="27"/>
      <c r="I6" s="27">
        <f>SUM(B6:H6)</f>
        <v>9025000</v>
      </c>
    </row>
    <row r="7" spans="1:9" ht="15.75">
      <c r="A7" s="14" t="s">
        <v>13</v>
      </c>
      <c r="B7" s="27"/>
      <c r="C7" s="27">
        <v>20000000</v>
      </c>
      <c r="D7" s="27"/>
      <c r="E7" s="27"/>
      <c r="F7" s="27"/>
      <c r="G7" s="27"/>
      <c r="H7" s="27"/>
      <c r="I7" s="27">
        <f>SUM(B7:H7)</f>
        <v>20000000</v>
      </c>
    </row>
    <row r="8" spans="1:9" ht="15.75">
      <c r="A8" s="14" t="s">
        <v>14</v>
      </c>
      <c r="B8" s="27"/>
      <c r="C8" s="27"/>
      <c r="D8" s="27">
        <v>19743000</v>
      </c>
      <c r="E8" s="27"/>
      <c r="F8" s="27"/>
      <c r="G8" s="27"/>
      <c r="H8" s="27"/>
      <c r="I8" s="27">
        <f>SUM(B8:H8)</f>
        <v>19743000</v>
      </c>
    </row>
    <row r="9" spans="1:9" s="12" customFormat="1" ht="15.75">
      <c r="A9" s="15" t="s">
        <v>15</v>
      </c>
      <c r="B9" s="28">
        <f aca="true" t="shared" si="0" ref="B9:I9">SUM(B4:B8)</f>
        <v>0</v>
      </c>
      <c r="C9" s="28">
        <f t="shared" si="0"/>
        <v>31934000</v>
      </c>
      <c r="D9" s="28">
        <f t="shared" si="0"/>
        <v>23768000</v>
      </c>
      <c r="E9" s="28">
        <f t="shared" si="0"/>
        <v>0</v>
      </c>
      <c r="F9" s="28">
        <f t="shared" si="0"/>
        <v>5000000</v>
      </c>
      <c r="G9" s="28">
        <f t="shared" si="0"/>
        <v>0</v>
      </c>
      <c r="H9" s="28">
        <f t="shared" si="0"/>
        <v>0</v>
      </c>
      <c r="I9" s="34">
        <f t="shared" si="0"/>
        <v>60702000</v>
      </c>
    </row>
    <row r="10" spans="1:9" ht="15.75">
      <c r="A10" s="16"/>
      <c r="B10" s="26"/>
      <c r="C10" s="26"/>
      <c r="D10" s="26"/>
      <c r="E10" s="26"/>
      <c r="F10" s="26"/>
      <c r="G10" s="26"/>
      <c r="I10" s="32"/>
    </row>
    <row r="11" spans="1:9" ht="15.75">
      <c r="A11" s="13" t="s">
        <v>16</v>
      </c>
      <c r="B11" s="26"/>
      <c r="C11" s="26"/>
      <c r="D11" s="26"/>
      <c r="E11" s="26"/>
      <c r="F11" s="26"/>
      <c r="G11" s="26"/>
      <c r="I11" s="36"/>
    </row>
    <row r="12" spans="1:9" ht="15.75">
      <c r="A12" s="14" t="s">
        <v>17</v>
      </c>
      <c r="B12" s="27"/>
      <c r="C12" s="27"/>
      <c r="D12" s="27"/>
      <c r="E12" s="27"/>
      <c r="F12" s="27">
        <v>6882000</v>
      </c>
      <c r="G12" s="27"/>
      <c r="H12" s="27"/>
      <c r="I12" s="38">
        <f>SUM(B12:H12)</f>
        <v>6882000</v>
      </c>
    </row>
    <row r="13" spans="1:9" ht="15.75">
      <c r="A13" s="14" t="s">
        <v>18</v>
      </c>
      <c r="B13" s="27">
        <v>1587000</v>
      </c>
      <c r="C13" s="27"/>
      <c r="D13" s="27"/>
      <c r="E13" s="27"/>
      <c r="F13" s="27">
        <v>1200000</v>
      </c>
      <c r="G13" s="27"/>
      <c r="H13" s="27"/>
      <c r="I13" s="38">
        <f>SUM(B13:H13)</f>
        <v>2787000</v>
      </c>
    </row>
    <row r="14" spans="1:9" ht="15.75">
      <c r="A14" s="14" t="s">
        <v>19</v>
      </c>
      <c r="B14" s="27"/>
      <c r="C14" s="27"/>
      <c r="D14" s="27">
        <v>22308000</v>
      </c>
      <c r="E14" s="27"/>
      <c r="F14" s="27"/>
      <c r="G14" s="27"/>
      <c r="H14" s="27"/>
      <c r="I14" s="38">
        <f>SUM(B14:H14)</f>
        <v>22308000</v>
      </c>
    </row>
    <row r="15" spans="1:9" ht="15.75">
      <c r="A15" s="14" t="s">
        <v>20</v>
      </c>
      <c r="B15" s="27"/>
      <c r="C15" s="27"/>
      <c r="D15" s="27"/>
      <c r="E15" s="27"/>
      <c r="F15" s="27"/>
      <c r="G15" s="27"/>
      <c r="H15" s="27"/>
      <c r="I15" s="38">
        <f>SUM(B15:H15)</f>
        <v>0</v>
      </c>
    </row>
    <row r="16" spans="1:9" ht="15.75">
      <c r="A16" s="14" t="s">
        <v>21</v>
      </c>
      <c r="B16" s="27"/>
      <c r="C16" s="27"/>
      <c r="D16" s="27"/>
      <c r="E16" s="27">
        <v>7441000</v>
      </c>
      <c r="F16" s="27"/>
      <c r="G16" s="27"/>
      <c r="H16" s="27"/>
      <c r="I16" s="38">
        <f>SUM(B16:H16)</f>
        <v>7441000</v>
      </c>
    </row>
    <row r="17" spans="1:9" s="11" customFormat="1" ht="15.75">
      <c r="A17" s="15" t="s">
        <v>15</v>
      </c>
      <c r="B17" s="28">
        <f aca="true" t="shared" si="1" ref="B17:H17">SUM(B12:B16)</f>
        <v>1587000</v>
      </c>
      <c r="C17" s="28">
        <f t="shared" si="1"/>
        <v>0</v>
      </c>
      <c r="D17" s="28">
        <f t="shared" si="1"/>
        <v>22308000</v>
      </c>
      <c r="E17" s="28">
        <f t="shared" si="1"/>
        <v>7441000</v>
      </c>
      <c r="F17" s="28">
        <f t="shared" si="1"/>
        <v>8082000</v>
      </c>
      <c r="G17" s="28">
        <f t="shared" si="1"/>
        <v>0</v>
      </c>
      <c r="H17" s="28">
        <f t="shared" si="1"/>
        <v>0</v>
      </c>
      <c r="I17" s="34">
        <f>SUM(B12:H16)</f>
        <v>39418000</v>
      </c>
    </row>
    <row r="18" spans="1:9" ht="15.75">
      <c r="A18" s="16"/>
      <c r="B18" s="26"/>
      <c r="C18" s="26"/>
      <c r="D18" s="26"/>
      <c r="E18" s="26"/>
      <c r="F18" s="26"/>
      <c r="G18" s="26"/>
      <c r="I18" s="26"/>
    </row>
    <row r="19" spans="1:9" ht="15.75">
      <c r="A19" s="13" t="s">
        <v>22</v>
      </c>
      <c r="B19" s="26"/>
      <c r="C19" s="26"/>
      <c r="D19" s="26"/>
      <c r="E19" s="26"/>
      <c r="F19" s="26"/>
      <c r="G19" s="26"/>
      <c r="I19" s="26"/>
    </row>
    <row r="20" spans="1:9" ht="15.75">
      <c r="A20" s="75" t="s">
        <v>23</v>
      </c>
      <c r="B20" s="76">
        <v>1181000</v>
      </c>
      <c r="C20" s="76"/>
      <c r="D20" s="76"/>
      <c r="E20" s="76"/>
      <c r="F20" s="76"/>
      <c r="G20" s="76"/>
      <c r="H20" s="76"/>
      <c r="I20" s="76">
        <f>SUM(B20:H20)</f>
        <v>1181000</v>
      </c>
    </row>
    <row r="21" spans="1:9" ht="15.75">
      <c r="A21" s="14" t="s">
        <v>24</v>
      </c>
      <c r="B21" s="27"/>
      <c r="C21" s="27"/>
      <c r="D21" s="27">
        <v>1700000</v>
      </c>
      <c r="E21" s="27"/>
      <c r="F21" s="27"/>
      <c r="G21" s="27"/>
      <c r="H21" s="27"/>
      <c r="I21" s="27">
        <f>SUM(B21:H21)</f>
        <v>1700000</v>
      </c>
    </row>
    <row r="22" spans="1:9" ht="15.75">
      <c r="A22" s="14" t="s">
        <v>25</v>
      </c>
      <c r="B22" s="27">
        <v>2265000</v>
      </c>
      <c r="C22" s="27"/>
      <c r="D22" s="27"/>
      <c r="E22" s="27"/>
      <c r="F22" s="27"/>
      <c r="G22" s="27"/>
      <c r="H22" s="27"/>
      <c r="I22" s="27">
        <f>SUM(B22:H22)</f>
        <v>2265000</v>
      </c>
    </row>
    <row r="23" spans="1:9" ht="15.75">
      <c r="A23" s="14" t="s">
        <v>26</v>
      </c>
      <c r="B23" s="27"/>
      <c r="C23" s="27"/>
      <c r="D23" s="27"/>
      <c r="E23" s="27">
        <v>250000</v>
      </c>
      <c r="F23" s="27"/>
      <c r="G23" s="27"/>
      <c r="H23" s="27"/>
      <c r="I23" s="27">
        <f>SUM(B23:H23)</f>
        <v>250000</v>
      </c>
    </row>
    <row r="24" spans="1:9" s="12" customFormat="1" ht="15.75">
      <c r="A24" s="15" t="s">
        <v>15</v>
      </c>
      <c r="B24" s="28">
        <f>SUM(B20:B23)</f>
        <v>3446000</v>
      </c>
      <c r="C24" s="28">
        <f aca="true" t="shared" si="2" ref="C24:H24">SUM(C21:C23)</f>
        <v>0</v>
      </c>
      <c r="D24" s="28">
        <f t="shared" si="2"/>
        <v>1700000</v>
      </c>
      <c r="E24" s="28">
        <f t="shared" si="2"/>
        <v>250000</v>
      </c>
      <c r="F24" s="28">
        <f t="shared" si="2"/>
        <v>0</v>
      </c>
      <c r="G24" s="28">
        <f t="shared" si="2"/>
        <v>0</v>
      </c>
      <c r="H24" s="28">
        <f t="shared" si="2"/>
        <v>0</v>
      </c>
      <c r="I24" s="34">
        <f>SUM(I20:I23)</f>
        <v>5396000</v>
      </c>
    </row>
    <row r="25" spans="1:9" s="3" customFormat="1" ht="15.75">
      <c r="A25" s="17"/>
      <c r="B25" s="29"/>
      <c r="C25" s="29"/>
      <c r="D25" s="29"/>
      <c r="E25" s="29"/>
      <c r="F25" s="29"/>
      <c r="G25" s="29"/>
      <c r="H25" s="29"/>
      <c r="I25" s="29"/>
    </row>
    <row r="26" spans="1:9" s="3" customFormat="1" ht="15.75">
      <c r="A26" s="13" t="s">
        <v>27</v>
      </c>
      <c r="B26" s="29"/>
      <c r="C26" s="29"/>
      <c r="D26" s="29"/>
      <c r="E26" s="29"/>
      <c r="F26" s="29"/>
      <c r="G26" s="29"/>
      <c r="H26" s="29"/>
      <c r="I26" s="29"/>
    </row>
    <row r="27" spans="1:10" s="3" customFormat="1" ht="15.75">
      <c r="A27" s="14" t="s">
        <v>28</v>
      </c>
      <c r="B27" s="27"/>
      <c r="C27" s="27"/>
      <c r="D27" s="27">
        <v>15783000</v>
      </c>
      <c r="E27" s="27"/>
      <c r="F27" s="27"/>
      <c r="G27" s="27"/>
      <c r="H27" s="27"/>
      <c r="I27" s="27">
        <f>SUM(B27:H27)</f>
        <v>15783000</v>
      </c>
      <c r="J27" s="2"/>
    </row>
    <row r="28" spans="1:10" s="3" customFormat="1" ht="15.75">
      <c r="A28" s="14" t="s">
        <v>29</v>
      </c>
      <c r="B28" s="27">
        <v>1885000</v>
      </c>
      <c r="C28" s="27"/>
      <c r="D28" s="27"/>
      <c r="E28" s="27"/>
      <c r="F28" s="27"/>
      <c r="G28" s="27"/>
      <c r="H28" s="27"/>
      <c r="I28" s="27">
        <f>SUM(B28:H28)</f>
        <v>1885000</v>
      </c>
      <c r="J28" s="2"/>
    </row>
    <row r="29" spans="1:10" s="3" customFormat="1" ht="15.75">
      <c r="A29" s="14" t="s">
        <v>30</v>
      </c>
      <c r="B29" s="27">
        <v>1503000</v>
      </c>
      <c r="C29" s="27">
        <v>3074000</v>
      </c>
      <c r="D29" s="27"/>
      <c r="E29" s="27"/>
      <c r="F29" s="27"/>
      <c r="G29" s="27"/>
      <c r="H29" s="27"/>
      <c r="I29" s="27">
        <f>SUM(B29:H29)</f>
        <v>4577000</v>
      </c>
      <c r="J29" s="2"/>
    </row>
    <row r="30" spans="1:9" s="12" customFormat="1" ht="15.75">
      <c r="A30" s="15" t="s">
        <v>15</v>
      </c>
      <c r="B30" s="28">
        <f aca="true" t="shared" si="3" ref="B30:I30">SUM(B27:B29)</f>
        <v>3388000</v>
      </c>
      <c r="C30" s="28">
        <f t="shared" si="3"/>
        <v>3074000</v>
      </c>
      <c r="D30" s="28">
        <f t="shared" si="3"/>
        <v>15783000</v>
      </c>
      <c r="E30" s="28">
        <f t="shared" si="3"/>
        <v>0</v>
      </c>
      <c r="F30" s="28">
        <f t="shared" si="3"/>
        <v>0</v>
      </c>
      <c r="G30" s="28">
        <f t="shared" si="3"/>
        <v>0</v>
      </c>
      <c r="H30" s="28">
        <f t="shared" si="3"/>
        <v>0</v>
      </c>
      <c r="I30" s="34">
        <f t="shared" si="3"/>
        <v>22245000</v>
      </c>
    </row>
    <row r="31" spans="1:10" ht="15.75">
      <c r="A31" s="16"/>
      <c r="B31" s="26"/>
      <c r="C31" s="26"/>
      <c r="D31" s="26"/>
      <c r="E31" s="26"/>
      <c r="F31" s="26"/>
      <c r="G31" s="26"/>
      <c r="I31" s="26"/>
      <c r="J31" s="2"/>
    </row>
    <row r="32" spans="1:9" s="1" customFormat="1" ht="15.75">
      <c r="A32" s="13" t="s">
        <v>31</v>
      </c>
      <c r="B32" s="26"/>
      <c r="C32" s="26"/>
      <c r="D32" s="26"/>
      <c r="E32" s="26"/>
      <c r="F32" s="26"/>
      <c r="G32" s="26"/>
      <c r="H32" s="26"/>
      <c r="I32" s="26"/>
    </row>
    <row r="33" spans="1:9" s="1" customFormat="1" ht="15.75">
      <c r="A33" s="14" t="s">
        <v>32</v>
      </c>
      <c r="B33" s="27"/>
      <c r="C33" s="27">
        <v>0</v>
      </c>
      <c r="D33" s="27"/>
      <c r="E33" s="27"/>
      <c r="F33" s="27"/>
      <c r="G33" s="27"/>
      <c r="H33" s="27"/>
      <c r="I33" s="27">
        <f aca="true" t="shared" si="4" ref="I33:I41">SUM(B33:H33)</f>
        <v>0</v>
      </c>
    </row>
    <row r="34" spans="1:9" s="1" customFormat="1" ht="15.75">
      <c r="A34" s="14" t="s">
        <v>33</v>
      </c>
      <c r="B34" s="27"/>
      <c r="C34" s="27">
        <v>1399000</v>
      </c>
      <c r="D34" s="27"/>
      <c r="E34" s="27"/>
      <c r="F34" s="27"/>
      <c r="G34" s="27"/>
      <c r="H34" s="27"/>
      <c r="I34" s="27">
        <f t="shared" si="4"/>
        <v>1399000</v>
      </c>
    </row>
    <row r="35" spans="1:9" s="1" customFormat="1" ht="15.75">
      <c r="A35" s="14" t="s">
        <v>34</v>
      </c>
      <c r="B35" s="27"/>
      <c r="C35" s="27">
        <v>10000000</v>
      </c>
      <c r="D35" s="27"/>
      <c r="E35" s="27"/>
      <c r="F35" s="27"/>
      <c r="G35" s="27"/>
      <c r="H35" s="27"/>
      <c r="I35" s="27">
        <f t="shared" si="4"/>
        <v>10000000</v>
      </c>
    </row>
    <row r="36" spans="1:9" s="1" customFormat="1" ht="15.75">
      <c r="A36" s="14" t="s">
        <v>35</v>
      </c>
      <c r="B36" s="27"/>
      <c r="C36" s="27"/>
      <c r="D36" s="27">
        <v>53000</v>
      </c>
      <c r="E36" s="27"/>
      <c r="F36" s="27">
        <v>5000000</v>
      </c>
      <c r="G36" s="27"/>
      <c r="H36" s="27"/>
      <c r="I36" s="27">
        <f t="shared" si="4"/>
        <v>5053000</v>
      </c>
    </row>
    <row r="37" spans="1:9" ht="15.75">
      <c r="A37" s="14" t="s">
        <v>36</v>
      </c>
      <c r="B37" s="27"/>
      <c r="C37" s="27"/>
      <c r="D37" s="27">
        <v>5721000</v>
      </c>
      <c r="E37" s="27"/>
      <c r="F37" s="27"/>
      <c r="G37" s="27"/>
      <c r="H37" s="27"/>
      <c r="I37" s="27">
        <f t="shared" si="4"/>
        <v>5721000</v>
      </c>
    </row>
    <row r="38" spans="1:9" ht="15.75">
      <c r="A38" s="14" t="s">
        <v>37</v>
      </c>
      <c r="B38" s="27"/>
      <c r="C38" s="27"/>
      <c r="D38" s="27"/>
      <c r="E38" s="27"/>
      <c r="F38" s="27">
        <v>5770000</v>
      </c>
      <c r="G38" s="27"/>
      <c r="H38" s="27"/>
      <c r="I38" s="27">
        <f t="shared" si="4"/>
        <v>5770000</v>
      </c>
    </row>
    <row r="39" spans="1:9" ht="15.75">
      <c r="A39" s="14" t="s">
        <v>38</v>
      </c>
      <c r="B39" s="27"/>
      <c r="C39" s="27"/>
      <c r="D39" s="27">
        <v>2562000</v>
      </c>
      <c r="E39" s="27"/>
      <c r="F39" s="27"/>
      <c r="G39" s="27"/>
      <c r="H39" s="27"/>
      <c r="I39" s="27">
        <f t="shared" si="4"/>
        <v>2562000</v>
      </c>
    </row>
    <row r="40" spans="1:9" ht="15.75">
      <c r="A40" s="14" t="s">
        <v>39</v>
      </c>
      <c r="B40" s="27"/>
      <c r="C40" s="27"/>
      <c r="D40" s="27"/>
      <c r="E40" s="27"/>
      <c r="F40" s="27"/>
      <c r="G40" s="27"/>
      <c r="H40" s="27"/>
      <c r="I40" s="27">
        <f t="shared" si="4"/>
        <v>0</v>
      </c>
    </row>
    <row r="41" spans="1:9" ht="15.75">
      <c r="A41" s="14" t="s">
        <v>40</v>
      </c>
      <c r="B41" s="27"/>
      <c r="C41" s="27">
        <v>2787000</v>
      </c>
      <c r="D41" s="27">
        <v>20000000</v>
      </c>
      <c r="E41" s="27"/>
      <c r="F41" s="27"/>
      <c r="G41" s="27"/>
      <c r="H41" s="27"/>
      <c r="I41" s="27">
        <f t="shared" si="4"/>
        <v>22787000</v>
      </c>
    </row>
    <row r="42" spans="1:9" s="11" customFormat="1" ht="15.75">
      <c r="A42" s="15" t="s">
        <v>15</v>
      </c>
      <c r="B42" s="28">
        <f aca="true" t="shared" si="5" ref="B42:H42">SUM(B33:B41)</f>
        <v>0</v>
      </c>
      <c r="C42" s="28">
        <f t="shared" si="5"/>
        <v>14186000</v>
      </c>
      <c r="D42" s="28">
        <f t="shared" si="5"/>
        <v>28336000</v>
      </c>
      <c r="E42" s="28">
        <f t="shared" si="5"/>
        <v>0</v>
      </c>
      <c r="F42" s="28">
        <f t="shared" si="5"/>
        <v>10770000</v>
      </c>
      <c r="G42" s="28">
        <f t="shared" si="5"/>
        <v>0</v>
      </c>
      <c r="H42" s="28">
        <f t="shared" si="5"/>
        <v>0</v>
      </c>
      <c r="I42" s="34">
        <f>SUM(I33:I41)</f>
        <v>53292000</v>
      </c>
    </row>
    <row r="43" spans="1:9" ht="15.75">
      <c r="A43" s="16"/>
      <c r="B43" s="26"/>
      <c r="C43" s="26"/>
      <c r="D43" s="26"/>
      <c r="E43" s="26"/>
      <c r="F43" s="26"/>
      <c r="G43" s="26"/>
      <c r="I43" s="26"/>
    </row>
    <row r="44" spans="1:9" s="1" customFormat="1" ht="15.75">
      <c r="A44" s="13" t="s">
        <v>41</v>
      </c>
      <c r="B44" s="26"/>
      <c r="C44" s="26"/>
      <c r="D44" s="26"/>
      <c r="E44" s="26"/>
      <c r="F44" s="26"/>
      <c r="G44" s="26"/>
      <c r="H44" s="26"/>
      <c r="I44" s="26"/>
    </row>
    <row r="45" spans="1:9" s="1" customFormat="1" ht="15.75">
      <c r="A45" s="14" t="s">
        <v>42</v>
      </c>
      <c r="B45" s="27"/>
      <c r="C45" s="27">
        <v>8570000</v>
      </c>
      <c r="D45" s="27"/>
      <c r="E45" s="27"/>
      <c r="F45" s="27"/>
      <c r="G45" s="27"/>
      <c r="H45" s="27"/>
      <c r="I45" s="27">
        <f aca="true" t="shared" si="6" ref="I45:I56">SUM(B45:H45)</f>
        <v>8570000</v>
      </c>
    </row>
    <row r="46" spans="1:9" s="1" customFormat="1" ht="15.75">
      <c r="A46" s="14" t="s">
        <v>43</v>
      </c>
      <c r="B46" s="27">
        <v>184000</v>
      </c>
      <c r="C46" s="27">
        <v>457000</v>
      </c>
      <c r="D46" s="27"/>
      <c r="E46" s="27"/>
      <c r="F46" s="27">
        <v>2387000</v>
      </c>
      <c r="G46" s="27"/>
      <c r="H46" s="27"/>
      <c r="I46" s="27">
        <f t="shared" si="6"/>
        <v>3028000</v>
      </c>
    </row>
    <row r="47" spans="1:9" ht="15.75">
      <c r="A47" s="14" t="s">
        <v>44</v>
      </c>
      <c r="B47" s="27"/>
      <c r="C47" s="27"/>
      <c r="D47" s="27"/>
      <c r="E47" s="27"/>
      <c r="F47" s="27">
        <v>638000</v>
      </c>
      <c r="G47" s="27"/>
      <c r="H47" s="27"/>
      <c r="I47" s="27">
        <f t="shared" si="6"/>
        <v>638000</v>
      </c>
    </row>
    <row r="48" spans="1:9" ht="15.75">
      <c r="A48" s="14" t="s">
        <v>45</v>
      </c>
      <c r="B48" s="27"/>
      <c r="C48" s="27">
        <v>2731000</v>
      </c>
      <c r="D48" s="27"/>
      <c r="E48" s="27"/>
      <c r="F48" s="27"/>
      <c r="G48" s="27"/>
      <c r="H48" s="27"/>
      <c r="I48" s="27">
        <f t="shared" si="6"/>
        <v>2731000</v>
      </c>
    </row>
    <row r="49" spans="1:9" ht="15.75">
      <c r="A49" s="14" t="s">
        <v>46</v>
      </c>
      <c r="B49" s="27"/>
      <c r="C49" s="27">
        <v>11000000</v>
      </c>
      <c r="D49" s="27"/>
      <c r="E49" s="27"/>
      <c r="F49" s="27">
        <v>2614000</v>
      </c>
      <c r="G49" s="27"/>
      <c r="H49" s="27"/>
      <c r="I49" s="27">
        <f t="shared" si="6"/>
        <v>13614000</v>
      </c>
    </row>
    <row r="50" spans="1:9" s="1" customFormat="1" ht="15.75">
      <c r="A50" s="14" t="s">
        <v>47</v>
      </c>
      <c r="B50" s="27"/>
      <c r="C50" s="27">
        <v>92000</v>
      </c>
      <c r="D50" s="27"/>
      <c r="E50" s="27"/>
      <c r="F50" s="27"/>
      <c r="G50" s="27"/>
      <c r="H50" s="27"/>
      <c r="I50" s="27">
        <f t="shared" si="6"/>
        <v>92000</v>
      </c>
    </row>
    <row r="51" spans="1:9" s="1" customFormat="1" ht="15.75">
      <c r="A51" s="14" t="s">
        <v>48</v>
      </c>
      <c r="B51" s="27"/>
      <c r="C51" s="27">
        <v>8000000</v>
      </c>
      <c r="D51" s="27"/>
      <c r="E51" s="27"/>
      <c r="F51" s="27"/>
      <c r="G51" s="27"/>
      <c r="H51" s="27"/>
      <c r="I51" s="27">
        <f t="shared" si="6"/>
        <v>8000000</v>
      </c>
    </row>
    <row r="52" spans="1:9" s="1" customFormat="1" ht="15.75">
      <c r="A52" s="14" t="s">
        <v>49</v>
      </c>
      <c r="B52" s="27"/>
      <c r="C52" s="27">
        <v>1500000</v>
      </c>
      <c r="D52" s="27"/>
      <c r="E52" s="27"/>
      <c r="F52" s="27"/>
      <c r="G52" s="27"/>
      <c r="H52" s="27"/>
      <c r="I52" s="27">
        <f t="shared" si="6"/>
        <v>1500000</v>
      </c>
    </row>
    <row r="53" spans="1:9" s="1" customFormat="1" ht="15.75">
      <c r="A53" s="14" t="s">
        <v>50</v>
      </c>
      <c r="B53" s="27"/>
      <c r="C53" s="27">
        <v>2200000</v>
      </c>
      <c r="D53" s="27"/>
      <c r="E53" s="27"/>
      <c r="F53" s="27"/>
      <c r="G53" s="27"/>
      <c r="H53" s="27"/>
      <c r="I53" s="27">
        <f t="shared" si="6"/>
        <v>2200000</v>
      </c>
    </row>
    <row r="54" spans="1:9" ht="15.75">
      <c r="A54" s="14" t="s">
        <v>51</v>
      </c>
      <c r="B54" s="27"/>
      <c r="C54" s="27">
        <v>3000000</v>
      </c>
      <c r="D54" s="27"/>
      <c r="E54" s="27"/>
      <c r="F54" s="27"/>
      <c r="G54" s="27"/>
      <c r="H54" s="27"/>
      <c r="I54" s="27">
        <f t="shared" si="6"/>
        <v>3000000</v>
      </c>
    </row>
    <row r="55" spans="1:9" ht="15.75">
      <c r="A55" s="14" t="s">
        <v>52</v>
      </c>
      <c r="B55" s="27"/>
      <c r="C55" s="27"/>
      <c r="D55" s="27">
        <v>14656000</v>
      </c>
      <c r="E55" s="27"/>
      <c r="F55" s="27"/>
      <c r="G55" s="27"/>
      <c r="H55" s="27"/>
      <c r="I55" s="27">
        <f t="shared" si="6"/>
        <v>14656000</v>
      </c>
    </row>
    <row r="56" spans="1:9" ht="15.75">
      <c r="A56" s="14" t="s">
        <v>53</v>
      </c>
      <c r="B56" s="27"/>
      <c r="C56" s="27"/>
      <c r="D56" s="27">
        <v>10000000</v>
      </c>
      <c r="E56" s="27"/>
      <c r="F56" s="27"/>
      <c r="G56" s="27"/>
      <c r="H56" s="27"/>
      <c r="I56" s="27">
        <f t="shared" si="6"/>
        <v>10000000</v>
      </c>
    </row>
    <row r="57" spans="1:9" s="12" customFormat="1" ht="15.75">
      <c r="A57" s="15" t="s">
        <v>15</v>
      </c>
      <c r="B57" s="28">
        <f>SUM(B46:B56)</f>
        <v>184000</v>
      </c>
      <c r="C57" s="28">
        <f aca="true" t="shared" si="7" ref="C57:I57">SUM(C45:C56)</f>
        <v>37550000</v>
      </c>
      <c r="D57" s="28">
        <f t="shared" si="7"/>
        <v>24656000</v>
      </c>
      <c r="E57" s="28">
        <f t="shared" si="7"/>
        <v>0</v>
      </c>
      <c r="F57" s="28">
        <f t="shared" si="7"/>
        <v>5639000</v>
      </c>
      <c r="G57" s="28">
        <f t="shared" si="7"/>
        <v>0</v>
      </c>
      <c r="H57" s="28">
        <f t="shared" si="7"/>
        <v>0</v>
      </c>
      <c r="I57" s="34">
        <f t="shared" si="7"/>
        <v>68029000</v>
      </c>
    </row>
    <row r="58" spans="1:9" ht="15.75">
      <c r="A58" s="16"/>
      <c r="B58" s="26"/>
      <c r="C58" s="26"/>
      <c r="D58" s="26"/>
      <c r="E58" s="26"/>
      <c r="F58" s="26"/>
      <c r="G58" s="26"/>
      <c r="I58" s="26"/>
    </row>
    <row r="59" spans="1:9" ht="15.75">
      <c r="A59" s="13" t="s">
        <v>54</v>
      </c>
      <c r="B59" s="26"/>
      <c r="C59" s="26"/>
      <c r="D59" s="26"/>
      <c r="E59" s="26"/>
      <c r="F59" s="26"/>
      <c r="G59" s="26"/>
      <c r="I59" s="26"/>
    </row>
    <row r="60" spans="1:9" s="1" customFormat="1" ht="15.75">
      <c r="A60" s="14" t="s">
        <v>55</v>
      </c>
      <c r="B60" s="27"/>
      <c r="C60" s="27"/>
      <c r="D60" s="27"/>
      <c r="E60" s="27">
        <v>500000</v>
      </c>
      <c r="F60" s="27">
        <v>900000</v>
      </c>
      <c r="G60" s="27"/>
      <c r="H60" s="27"/>
      <c r="I60" s="27">
        <f aca="true" t="shared" si="8" ref="I60:I72">SUM(B60:H60)</f>
        <v>1400000</v>
      </c>
    </row>
    <row r="61" spans="1:9" s="1" customFormat="1" ht="15.75">
      <c r="A61" s="14" t="s">
        <v>56</v>
      </c>
      <c r="B61" s="27"/>
      <c r="C61" s="27"/>
      <c r="D61" s="27">
        <v>1600000</v>
      </c>
      <c r="E61" s="27"/>
      <c r="F61" s="27"/>
      <c r="G61" s="27"/>
      <c r="H61" s="27"/>
      <c r="I61" s="27">
        <f t="shared" si="8"/>
        <v>1600000</v>
      </c>
    </row>
    <row r="62" spans="1:9" s="1" customFormat="1" ht="15.75">
      <c r="A62" s="14" t="s">
        <v>57</v>
      </c>
      <c r="B62" s="27"/>
      <c r="C62" s="27">
        <v>5400000</v>
      </c>
      <c r="D62" s="27">
        <v>9377000</v>
      </c>
      <c r="E62" s="27"/>
      <c r="F62" s="27"/>
      <c r="G62" s="27"/>
      <c r="H62" s="27"/>
      <c r="I62" s="27">
        <f t="shared" si="8"/>
        <v>14777000</v>
      </c>
    </row>
    <row r="63" spans="1:9" s="1" customFormat="1" ht="15.75">
      <c r="A63" s="14" t="s">
        <v>58</v>
      </c>
      <c r="B63" s="27"/>
      <c r="C63" s="27"/>
      <c r="D63" s="27">
        <v>8813000</v>
      </c>
      <c r="E63" s="27"/>
      <c r="F63" s="27"/>
      <c r="G63" s="27"/>
      <c r="H63" s="27"/>
      <c r="I63" s="27">
        <f t="shared" si="8"/>
        <v>8813000</v>
      </c>
    </row>
    <row r="64" spans="1:9" s="1" customFormat="1" ht="15.75">
      <c r="A64" s="14" t="s">
        <v>59</v>
      </c>
      <c r="B64" s="27"/>
      <c r="C64" s="27"/>
      <c r="D64" s="27"/>
      <c r="E64" s="27"/>
      <c r="F64" s="27">
        <v>1500000</v>
      </c>
      <c r="G64" s="27"/>
      <c r="H64" s="27"/>
      <c r="I64" s="27">
        <f t="shared" si="8"/>
        <v>1500000</v>
      </c>
    </row>
    <row r="65" spans="1:9" s="1" customFormat="1" ht="15.75">
      <c r="A65" s="14" t="s">
        <v>60</v>
      </c>
      <c r="B65" s="27"/>
      <c r="C65" s="27"/>
      <c r="D65" s="27">
        <v>10000000</v>
      </c>
      <c r="E65" s="27"/>
      <c r="F65" s="27"/>
      <c r="G65" s="27"/>
      <c r="H65" s="27"/>
      <c r="I65" s="27">
        <f t="shared" si="8"/>
        <v>10000000</v>
      </c>
    </row>
    <row r="66" spans="1:9" s="1" customFormat="1" ht="15.75">
      <c r="A66" s="14" t="s">
        <v>61</v>
      </c>
      <c r="B66" s="27"/>
      <c r="C66" s="27"/>
      <c r="D66" s="27"/>
      <c r="E66" s="27"/>
      <c r="F66" s="27">
        <v>3500000</v>
      </c>
      <c r="G66" s="27"/>
      <c r="H66" s="27"/>
      <c r="I66" s="27">
        <f t="shared" si="8"/>
        <v>3500000</v>
      </c>
    </row>
    <row r="67" spans="1:9" s="1" customFormat="1" ht="15.75">
      <c r="A67" s="14" t="s">
        <v>62</v>
      </c>
      <c r="B67" s="27"/>
      <c r="C67" s="27"/>
      <c r="D67" s="27"/>
      <c r="E67" s="27">
        <v>5279000</v>
      </c>
      <c r="F67" s="27"/>
      <c r="G67" s="27"/>
      <c r="H67" s="27"/>
      <c r="I67" s="27">
        <f t="shared" si="8"/>
        <v>5279000</v>
      </c>
    </row>
    <row r="68" spans="1:9" ht="15.75">
      <c r="A68" s="14" t="s">
        <v>63</v>
      </c>
      <c r="B68" s="27"/>
      <c r="C68" s="27">
        <v>3524000</v>
      </c>
      <c r="D68" s="27"/>
      <c r="E68" s="27"/>
      <c r="F68" s="27"/>
      <c r="G68" s="27"/>
      <c r="H68" s="27"/>
      <c r="I68" s="27">
        <f t="shared" si="8"/>
        <v>3524000</v>
      </c>
    </row>
    <row r="69" spans="1:9" ht="15.75">
      <c r="A69" s="14" t="s">
        <v>64</v>
      </c>
      <c r="B69" s="27"/>
      <c r="C69" s="27"/>
      <c r="D69" s="27">
        <v>11839000</v>
      </c>
      <c r="E69" s="27"/>
      <c r="F69" s="27"/>
      <c r="G69" s="27"/>
      <c r="H69" s="27"/>
      <c r="I69" s="27">
        <f t="shared" si="8"/>
        <v>11839000</v>
      </c>
    </row>
    <row r="70" spans="1:9" ht="15.75">
      <c r="A70" s="14" t="s">
        <v>65</v>
      </c>
      <c r="B70" s="27"/>
      <c r="C70" s="27">
        <v>10000000</v>
      </c>
      <c r="D70" s="27"/>
      <c r="E70" s="27"/>
      <c r="F70" s="27"/>
      <c r="G70" s="27"/>
      <c r="H70" s="27"/>
      <c r="I70" s="27">
        <f t="shared" si="8"/>
        <v>10000000</v>
      </c>
    </row>
    <row r="71" spans="1:9" ht="15.75">
      <c r="A71" s="14" t="s">
        <v>66</v>
      </c>
      <c r="B71" s="27"/>
      <c r="C71" s="27">
        <v>0</v>
      </c>
      <c r="D71" s="27"/>
      <c r="E71" s="27"/>
      <c r="F71" s="27"/>
      <c r="G71" s="27"/>
      <c r="H71" s="27"/>
      <c r="I71" s="27">
        <f t="shared" si="8"/>
        <v>0</v>
      </c>
    </row>
    <row r="72" spans="1:9" ht="15.75">
      <c r="A72" s="14" t="s">
        <v>67</v>
      </c>
      <c r="B72" s="27">
        <v>15319000</v>
      </c>
      <c r="C72" s="27"/>
      <c r="D72" s="27"/>
      <c r="E72" s="27"/>
      <c r="F72" s="27">
        <v>2015000</v>
      </c>
      <c r="G72" s="27"/>
      <c r="H72" s="27"/>
      <c r="I72" s="27">
        <f t="shared" si="8"/>
        <v>17334000</v>
      </c>
    </row>
    <row r="73" spans="1:9" s="12" customFormat="1" ht="15.75">
      <c r="A73" s="15" t="s">
        <v>15</v>
      </c>
      <c r="B73" s="28">
        <f aca="true" t="shared" si="9" ref="B73:I73">SUM(B60:B72)</f>
        <v>15319000</v>
      </c>
      <c r="C73" s="28">
        <f t="shared" si="9"/>
        <v>18924000</v>
      </c>
      <c r="D73" s="28">
        <f t="shared" si="9"/>
        <v>41629000</v>
      </c>
      <c r="E73" s="28">
        <f t="shared" si="9"/>
        <v>5779000</v>
      </c>
      <c r="F73" s="28">
        <f t="shared" si="9"/>
        <v>7915000</v>
      </c>
      <c r="G73" s="28">
        <f t="shared" si="9"/>
        <v>0</v>
      </c>
      <c r="H73" s="28">
        <f t="shared" si="9"/>
        <v>0</v>
      </c>
      <c r="I73" s="34">
        <f t="shared" si="9"/>
        <v>89566000</v>
      </c>
    </row>
    <row r="74" spans="1:9" ht="15.75">
      <c r="A74" s="16"/>
      <c r="B74" s="26"/>
      <c r="C74" s="26"/>
      <c r="E74" s="26"/>
      <c r="F74" s="26"/>
      <c r="G74" s="26"/>
      <c r="I74" s="26"/>
    </row>
    <row r="75" spans="1:9" ht="19.5">
      <c r="A75" s="18" t="s">
        <v>68</v>
      </c>
      <c r="B75" s="30"/>
      <c r="C75" s="30"/>
      <c r="D75" s="7"/>
      <c r="E75" s="30"/>
      <c r="F75" s="30"/>
      <c r="G75" s="30"/>
      <c r="H75" s="30"/>
      <c r="I75" s="39"/>
    </row>
    <row r="76" spans="1:9" ht="15.75">
      <c r="A76" s="19"/>
      <c r="B76" s="31"/>
      <c r="C76" s="31"/>
      <c r="D76" s="8"/>
      <c r="E76" s="31"/>
      <c r="F76" s="31"/>
      <c r="G76" s="31"/>
      <c r="H76" s="31"/>
      <c r="I76" s="40"/>
    </row>
    <row r="77" spans="1:9" ht="15.75">
      <c r="A77" s="20" t="s">
        <v>69</v>
      </c>
      <c r="B77" s="27">
        <f>rek1</f>
        <v>0</v>
      </c>
      <c r="C77" s="27">
        <f>rek2</f>
        <v>31934000</v>
      </c>
      <c r="D77" s="27">
        <f>rek3</f>
        <v>23768000</v>
      </c>
      <c r="E77" s="27">
        <f>rek7</f>
        <v>0</v>
      </c>
      <c r="F77" s="27">
        <f>rek4</f>
        <v>5000000</v>
      </c>
      <c r="G77" s="27">
        <f>rek5</f>
        <v>0</v>
      </c>
      <c r="H77" s="27">
        <f>rek6</f>
        <v>0</v>
      </c>
      <c r="I77" s="41">
        <f>reksam</f>
        <v>60702000</v>
      </c>
    </row>
    <row r="78" spans="1:9" ht="15.75">
      <c r="A78" s="20" t="s">
        <v>70</v>
      </c>
      <c r="B78" s="27">
        <f>ves1</f>
        <v>1587000</v>
      </c>
      <c r="C78" s="27">
        <f>ves2</f>
        <v>0</v>
      </c>
      <c r="D78" s="27">
        <f>ves3</f>
        <v>22308000</v>
      </c>
      <c r="E78" s="27">
        <f>ves7</f>
        <v>7441000</v>
      </c>
      <c r="F78" s="27">
        <f>ves4</f>
        <v>8082000</v>
      </c>
      <c r="G78" s="27">
        <f>ves5</f>
        <v>0</v>
      </c>
      <c r="H78" s="27">
        <f>ves6</f>
        <v>0</v>
      </c>
      <c r="I78" s="41">
        <f>vessam</f>
        <v>39418000</v>
      </c>
    </row>
    <row r="79" spans="1:9" ht="15.75">
      <c r="A79" s="20" t="s">
        <v>71</v>
      </c>
      <c r="B79" s="27">
        <f>vf1</f>
        <v>3446000</v>
      </c>
      <c r="C79" s="27">
        <f>vf2</f>
        <v>0</v>
      </c>
      <c r="D79" s="27">
        <f>vf3</f>
        <v>1700000</v>
      </c>
      <c r="E79" s="27">
        <f>vf7</f>
        <v>250000</v>
      </c>
      <c r="F79" s="27">
        <f>vf4</f>
        <v>0</v>
      </c>
      <c r="G79" s="27">
        <f>vf5</f>
        <v>0</v>
      </c>
      <c r="H79" s="27">
        <f>vf6</f>
        <v>0</v>
      </c>
      <c r="I79" s="41">
        <f>vfsam</f>
        <v>5396000</v>
      </c>
    </row>
    <row r="80" spans="1:9" ht="15.75">
      <c r="A80" s="20" t="s">
        <v>72</v>
      </c>
      <c r="B80" s="27">
        <f>nv1</f>
        <v>3388000</v>
      </c>
      <c r="C80" s="27">
        <f>nv2</f>
        <v>3074000</v>
      </c>
      <c r="D80" s="27">
        <f>nv3</f>
        <v>15783000</v>
      </c>
      <c r="E80" s="27">
        <f>nv7</f>
        <v>0</v>
      </c>
      <c r="F80" s="27">
        <f>nv4</f>
        <v>0</v>
      </c>
      <c r="G80" s="27">
        <f>nv5</f>
        <v>0</v>
      </c>
      <c r="H80" s="27">
        <f>nv6</f>
        <v>0</v>
      </c>
      <c r="I80" s="41">
        <f>nvsam</f>
        <v>22245000</v>
      </c>
    </row>
    <row r="81" spans="1:9" ht="15.75">
      <c r="A81" s="20" t="s">
        <v>73</v>
      </c>
      <c r="B81" s="27">
        <f>ne1</f>
        <v>0</v>
      </c>
      <c r="C81" s="27">
        <f>ne2</f>
        <v>14186000</v>
      </c>
      <c r="D81" s="27">
        <f>ne3</f>
        <v>28336000</v>
      </c>
      <c r="E81" s="27">
        <f>ne7</f>
        <v>0</v>
      </c>
      <c r="F81" s="27">
        <f>ne4</f>
        <v>10770000</v>
      </c>
      <c r="G81" s="27">
        <f>ne5</f>
        <v>0</v>
      </c>
      <c r="H81" s="27">
        <f>ne6</f>
        <v>0</v>
      </c>
      <c r="I81" s="41">
        <f>nesam</f>
        <v>53292000</v>
      </c>
    </row>
    <row r="82" spans="1:9" ht="15.75">
      <c r="A82" s="20" t="s">
        <v>74</v>
      </c>
      <c r="B82" s="27">
        <f>aust1</f>
        <v>184000</v>
      </c>
      <c r="C82" s="27">
        <f>aust2</f>
        <v>37550000</v>
      </c>
      <c r="D82" s="27">
        <f>aust3</f>
        <v>24656000</v>
      </c>
      <c r="E82" s="27">
        <f>aust7</f>
        <v>0</v>
      </c>
      <c r="F82" s="27">
        <f>aust4</f>
        <v>5639000</v>
      </c>
      <c r="G82" s="27">
        <f>aust5</f>
        <v>0</v>
      </c>
      <c r="H82" s="27">
        <f>aust6</f>
        <v>0</v>
      </c>
      <c r="I82" s="41">
        <f>austsam</f>
        <v>68029000</v>
      </c>
    </row>
    <row r="83" spans="1:9" ht="15.75">
      <c r="A83" s="20" t="s">
        <v>75</v>
      </c>
      <c r="B83" s="27">
        <f>su1</f>
        <v>15319000</v>
      </c>
      <c r="C83" s="27">
        <f>su2</f>
        <v>18924000</v>
      </c>
      <c r="D83" s="27">
        <f>su3</f>
        <v>41629000</v>
      </c>
      <c r="E83" s="27">
        <f>su7</f>
        <v>5779000</v>
      </c>
      <c r="F83" s="27">
        <f>su4</f>
        <v>7915000</v>
      </c>
      <c r="G83" s="27">
        <f>su5</f>
        <v>0</v>
      </c>
      <c r="H83" s="27">
        <f>su6</f>
        <v>0</v>
      </c>
      <c r="I83" s="41">
        <f>susam</f>
        <v>89566000</v>
      </c>
    </row>
    <row r="84" spans="1:9" ht="15.75">
      <c r="A84" s="21"/>
      <c r="B84" s="30"/>
      <c r="C84" s="30"/>
      <c r="D84" s="30"/>
      <c r="E84" s="30"/>
      <c r="F84" s="30"/>
      <c r="G84" s="30"/>
      <c r="H84" s="30"/>
      <c r="I84" s="39"/>
    </row>
    <row r="85" spans="1:9" s="12" customFormat="1" ht="15.75">
      <c r="A85" s="22" t="s">
        <v>15</v>
      </c>
      <c r="B85" s="32">
        <f aca="true" t="shared" si="10" ref="B85:I85">SUM(B77:B83)</f>
        <v>23924000</v>
      </c>
      <c r="C85" s="32">
        <f t="shared" si="10"/>
        <v>105668000</v>
      </c>
      <c r="D85" s="32">
        <f t="shared" si="10"/>
        <v>158180000</v>
      </c>
      <c r="E85" s="32">
        <f t="shared" si="10"/>
        <v>13470000</v>
      </c>
      <c r="F85" s="32">
        <f t="shared" si="10"/>
        <v>37406000</v>
      </c>
      <c r="G85" s="32">
        <f t="shared" si="10"/>
        <v>0</v>
      </c>
      <c r="H85" s="32">
        <f t="shared" si="10"/>
        <v>0</v>
      </c>
      <c r="I85" s="42">
        <f t="shared" si="10"/>
        <v>338648000</v>
      </c>
    </row>
    <row r="86" spans="1:9" ht="15.75">
      <c r="A86" s="23"/>
      <c r="B86" s="9"/>
      <c r="C86" s="33"/>
      <c r="D86" s="9"/>
      <c r="E86" s="9"/>
      <c r="F86" s="9"/>
      <c r="G86" s="9"/>
      <c r="H86" s="33"/>
      <c r="I86" s="10"/>
    </row>
  </sheetData>
  <printOptions horizontalCentered="1"/>
  <pageMargins left="0.7480314960629921" right="0.7480314960629921" top="1.1023622047244095" bottom="0.5905511811023623" header="0.5118110236220472" footer="0.5118110236220472"/>
  <pageSetup horizontalDpi="300" verticalDpi="300" orientation="landscape" paperSize="9" r:id="rId1"/>
  <headerFooter alignWithMargins="0">
    <oddHeader>&amp;LJöfnunarsjóður sveitarfélaga
&amp;C
Tillögur að úthlutun stofnframlaga  fyrir árið 2000
 skv. rgl. 44/1999&amp;RPage &amp;P</oddHeader>
    <oddFooter>&amp;L&amp;"Arial,Regular"&amp;8&amp;F&amp;RSíða &amp;P</oddFooter>
  </headerFooter>
  <rowBreaks count="5" manualBreakCount="5">
    <brk id="18" max="65535" man="1"/>
    <brk id="31" max="65535" man="1"/>
    <brk id="43" max="65535" man="1"/>
    <brk id="58" max="65535" man="1"/>
    <brk id="7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Úthlutun stofnframlaga 1995</dc:title>
  <dc:subject/>
  <dc:creator>Elín Pálsdóttir</dc:creator>
  <cp:keywords/>
  <dc:description/>
  <cp:lastModifiedBy>Elín Pálsdóttir</cp:lastModifiedBy>
  <cp:lastPrinted>2004-04-29T16:31:21Z</cp:lastPrinted>
  <dcterms:created xsi:type="dcterms:W3CDTF">1996-01-25T09:30:00Z</dcterms:created>
  <dcterms:modified xsi:type="dcterms:W3CDTF">2004-04-29T16:41:51Z</dcterms:modified>
  <cp:category/>
  <cp:version/>
  <cp:contentType/>
  <cp:contentStatus/>
</cp:coreProperties>
</file>